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https://diehlonline-my.sharepoint.com/personal/stephan_osterwald_diehl_com/Documents/text2025/Projekte aktiv/Konfliktmineralien/CMRT 6.4/"/>
    </mc:Choice>
  </mc:AlternateContent>
  <xr:revisionPtr revIDLastSave="1" documentId="14_{C550BC05-1CEA-436A-AF88-704B7A897F39}" xr6:coauthVersionLast="47" xr6:coauthVersionMax="47" xr10:uidLastSave="{CCA755BF-4FC2-458B-B373-23DADA43746D}"/>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1240" windowHeight="159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9" i="5" l="1"/>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6" i="5" s="1"/>
  <c r="C4"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39" i="5"/>
  <c r="E39" i="5"/>
  <c r="X39" i="5" s="1"/>
  <c r="V40" i="5"/>
  <c r="E40" i="5"/>
  <c r="X40" i="5" s="1"/>
  <c r="V41" i="5"/>
  <c r="E41" i="5"/>
  <c r="X41" i="5" s="1"/>
  <c r="V42" i="5"/>
  <c r="E42" i="5"/>
  <c r="X42" i="5" s="1"/>
  <c r="V43" i="5"/>
  <c r="E43" i="5"/>
  <c r="X43" i="5" s="1"/>
  <c r="V44" i="5"/>
  <c r="E44" i="5"/>
  <c r="X44" i="5" s="1"/>
  <c r="V45" i="5"/>
  <c r="E45" i="5"/>
  <c r="X45" i="5" s="1"/>
  <c r="V46" i="5"/>
  <c r="E46" i="5"/>
  <c r="X46" i="5" s="1"/>
  <c r="V47" i="5"/>
  <c r="E47" i="5"/>
  <c r="X47" i="5" s="1"/>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V102" i="5"/>
  <c r="E102" i="5"/>
  <c r="X102" i="5" s="1"/>
  <c r="V103" i="5"/>
  <c r="E103" i="5"/>
  <c r="X103" i="5" s="1"/>
  <c r="V104" i="5"/>
  <c r="E104" i="5"/>
  <c r="X104" i="5" s="1"/>
  <c r="V105" i="5"/>
  <c r="E105" i="5"/>
  <c r="X105" i="5" s="1"/>
  <c r="V106" i="5"/>
  <c r="E106" i="5"/>
  <c r="X106" i="5" s="1"/>
  <c r="V107" i="5"/>
  <c r="E107" i="5"/>
  <c r="X107" i="5" s="1"/>
  <c r="V108" i="5"/>
  <c r="E108" i="5"/>
  <c r="V109" i="5"/>
  <c r="E109" i="5"/>
  <c r="X109" i="5" s="1"/>
  <c r="V110" i="5"/>
  <c r="E110" i="5"/>
  <c r="X110" i="5" s="1"/>
  <c r="V111" i="5"/>
  <c r="E111" i="5"/>
  <c r="X111" i="5" s="1"/>
  <c r="V112" i="5"/>
  <c r="E112" i="5"/>
  <c r="X112" i="5" s="1"/>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V1719" i="5"/>
  <c r="E1719" i="5"/>
  <c r="X1719" i="5" s="1"/>
  <c r="V1720" i="5"/>
  <c r="E1720" i="5"/>
  <c r="X1720" i="5" s="1"/>
  <c r="V1721" i="5"/>
  <c r="E1721" i="5"/>
  <c r="X1721" i="5" s="1"/>
  <c r="V1722" i="5"/>
  <c r="E1722" i="5"/>
  <c r="X1722" i="5" s="1"/>
  <c r="V1723" i="5"/>
  <c r="E1723" i="5"/>
  <c r="X1723" i="5" s="1"/>
  <c r="V1724" i="5"/>
  <c r="E1724" i="5"/>
  <c r="X1724" i="5" s="1"/>
  <c r="V1725" i="5"/>
  <c r="E1725" i="5"/>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c r="B57" i="6"/>
  <c r="G57" i="6" s="1"/>
  <c r="B56" i="6"/>
  <c r="G56" i="6" s="1"/>
  <c r="B55" i="6"/>
  <c r="G55" i="6" s="1"/>
  <c r="B54" i="6"/>
  <c r="G54" i="6" s="1"/>
  <c r="B17" i="6"/>
  <c r="B37" i="6" s="1"/>
  <c r="G37" i="6" s="1"/>
  <c r="B16" i="6"/>
  <c r="B15" i="6"/>
  <c r="B20" i="6" s="1"/>
  <c r="B14" i="6"/>
  <c r="G14" i="6"/>
  <c r="H14" i="6"/>
  <c r="H13" i="6"/>
  <c r="B12" i="6"/>
  <c r="G12" i="6"/>
  <c r="H12" i="6" s="1"/>
  <c r="D12" i="6" s="1"/>
  <c r="B11" i="6"/>
  <c r="G11" i="6"/>
  <c r="H11" i="6" s="1"/>
  <c r="D11" i="6" s="1"/>
  <c r="G9" i="6"/>
  <c r="H9" i="6"/>
  <c r="D9" i="6" s="1"/>
  <c r="B8" i="6"/>
  <c r="G8" i="6" s="1"/>
  <c r="H8" i="6" s="1"/>
  <c r="D8" i="6" s="1"/>
  <c r="B7" i="6"/>
  <c r="G7" i="6" s="1"/>
  <c r="H7" i="6" s="1"/>
  <c r="D7" i="6" s="1"/>
  <c r="B6" i="6"/>
  <c r="G6" i="6" s="1"/>
  <c r="B5" i="6"/>
  <c r="F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B90" i="4"/>
  <c r="H67" i="4"/>
  <c r="P47" i="4"/>
  <c r="B47" i="4" s="1"/>
  <c r="A32" i="6" s="1"/>
  <c r="P46" i="4"/>
  <c r="B46" i="4" s="1"/>
  <c r="A31" i="6" s="1"/>
  <c r="P45" i="4"/>
  <c r="P44" i="4"/>
  <c r="P43" i="4"/>
  <c r="Q43" i="4"/>
  <c r="P41" i="4"/>
  <c r="P40" i="4"/>
  <c r="P39" i="4"/>
  <c r="P38" i="4"/>
  <c r="P37" i="4"/>
  <c r="Q37" i="4"/>
  <c r="B79" i="4" s="1"/>
  <c r="A57" i="6" s="1"/>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H51" i="5"/>
  <c r="R51" i="5"/>
  <c r="J51" i="5"/>
  <c r="I51" i="5"/>
  <c r="F51" i="5"/>
  <c r="R77" i="5"/>
  <c r="I77" i="5"/>
  <c r="R89" i="5"/>
  <c r="I89" i="5"/>
  <c r="F129" i="5"/>
  <c r="H199" i="5"/>
  <c r="R199" i="5"/>
  <c r="J199" i="5"/>
  <c r="I199" i="5"/>
  <c r="F199" i="5"/>
  <c r="H131" i="5"/>
  <c r="F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X444" i="5"/>
  <c r="R444" i="5"/>
  <c r="I444" i="5"/>
  <c r="H444" i="5"/>
  <c r="I448" i="5"/>
  <c r="H448" i="5"/>
  <c r="F448" i="5"/>
  <c r="AB455" i="5"/>
  <c r="I457" i="5"/>
  <c r="R457" i="5"/>
  <c r="J457" i="5"/>
  <c r="F457" i="5"/>
  <c r="J492" i="5"/>
  <c r="H492" i="5"/>
  <c r="R492" i="5"/>
  <c r="J548" i="5"/>
  <c r="H548" i="5"/>
  <c r="F548" i="5"/>
  <c r="R693" i="5"/>
  <c r="J693" i="5"/>
  <c r="H693" i="5"/>
  <c r="R699" i="5"/>
  <c r="H699" i="5"/>
  <c r="R704" i="5"/>
  <c r="H704"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I46"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50" i="5"/>
  <c r="I66" i="5"/>
  <c r="I82"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X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X101"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X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X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B22" i="6"/>
  <c r="B42" i="6" s="1"/>
  <c r="G42" i="6" s="1"/>
  <c r="H42" i="6" s="1"/>
  <c r="D42" i="6" s="1"/>
  <c r="F27" i="6"/>
  <c r="F68" i="6" s="1"/>
  <c r="F2442" i="5"/>
  <c r="J2442" i="5"/>
  <c r="I2442" i="5"/>
  <c r="H2442" i="5"/>
  <c r="AB2460" i="5"/>
  <c r="F2497" i="5"/>
  <c r="R2497" i="5"/>
  <c r="J2497" i="5"/>
  <c r="I2497" i="5"/>
  <c r="H2497" i="5"/>
  <c r="S2501" i="5"/>
  <c r="F64" i="6"/>
  <c r="G5" i="6"/>
  <c r="H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D17" i="6" s="1"/>
  <c r="AB2443" i="5"/>
  <c r="S2443" i="5"/>
  <c r="S2450" i="5"/>
  <c r="S2452" i="5"/>
  <c r="J2461" i="5"/>
  <c r="J2469" i="5"/>
  <c r="S2495" i="5"/>
  <c r="S2499" i="5"/>
  <c r="S2503" i="5"/>
  <c r="G15" i="6"/>
  <c r="H1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A38" i="2"/>
  <c r="J4" i="5"/>
  <c r="B41" i="4"/>
  <c r="B53" i="4" s="1"/>
  <c r="A37" i="6" s="1"/>
  <c r="A55" i="2"/>
  <c r="A73" i="2"/>
  <c r="B9" i="3"/>
  <c r="A3" i="2"/>
  <c r="A20" i="2"/>
  <c r="B17" i="3"/>
  <c r="B29" i="4"/>
  <c r="B35" i="4" s="1"/>
  <c r="A22" i="6" s="1"/>
  <c r="B25" i="3"/>
  <c r="C20" i="3"/>
  <c r="A75" i="2"/>
  <c r="C25" i="3"/>
  <c r="N4" i="5"/>
  <c r="A43" i="2"/>
  <c r="C3" i="3"/>
  <c r="C19" i="3"/>
  <c r="P4" i="5"/>
  <c r="A45" i="2"/>
  <c r="C4" i="3"/>
  <c r="B26" i="4"/>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479" i="5"/>
  <c r="S67" i="5"/>
  <c r="S143" i="5"/>
  <c r="S175" i="5"/>
  <c r="S57" i="5"/>
  <c r="S69" i="5"/>
  <c r="S89" i="5"/>
  <c r="S155" i="5"/>
  <c r="S49" i="5"/>
  <c r="S157" i="5"/>
  <c r="S364" i="5"/>
  <c r="S304" i="5"/>
  <c r="S392" i="5"/>
  <c r="S348" i="5"/>
  <c r="S433" i="5"/>
  <c r="S444" i="5"/>
  <c r="S584" i="5"/>
  <c r="S51" i="5"/>
  <c r="S59" i="5"/>
  <c r="S99" i="5"/>
  <c r="S81" i="5"/>
  <c r="S4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X66" i="5"/>
  <c r="S357"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71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1" i="6"/>
  <c r="G31"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1725"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26" i="6"/>
  <c r="G26" i="6" s="1"/>
  <c r="H2439" i="5"/>
  <c r="F2439" i="5"/>
  <c r="R2439" i="5"/>
  <c r="J2439" i="5"/>
  <c r="I2439" i="5"/>
  <c r="F2414" i="5"/>
  <c r="R2414" i="5"/>
  <c r="J2414" i="5"/>
  <c r="I2414" i="5"/>
  <c r="H2414" i="5"/>
  <c r="J2448" i="5"/>
  <c r="F2448" i="5"/>
  <c r="I2448" i="5"/>
  <c r="H2448" i="5"/>
  <c r="R2448" i="5"/>
  <c r="B27" i="6"/>
  <c r="G27" i="6"/>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42" i="6"/>
  <c r="H27" i="6"/>
  <c r="D27" i="6" s="1"/>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X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62"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S337" i="5"/>
  <c r="S101" i="5"/>
  <c r="S555" i="5"/>
  <c r="S570" i="5"/>
  <c r="S154" i="5"/>
  <c r="S70" i="5"/>
  <c r="S301" i="5"/>
  <c r="S63" i="5"/>
  <c r="S64" i="5"/>
  <c r="S246" i="5"/>
  <c r="S254" i="5"/>
  <c r="S60" i="5"/>
  <c r="S206" i="5"/>
  <c r="S325" i="5"/>
  <c r="S527" i="5"/>
  <c r="S369" i="5"/>
  <c r="S381" i="5"/>
  <c r="S52" i="5"/>
  <c r="S309" i="5"/>
  <c r="S597" i="5"/>
  <c r="X599" i="5"/>
  <c r="S599" i="5"/>
  <c r="X346" i="5"/>
  <c r="S611" i="5"/>
  <c r="S601" i="5"/>
  <c r="S600" i="5"/>
  <c r="X108" i="5"/>
  <c r="S382" i="5"/>
  <c r="X297" i="5"/>
  <c r="S533" i="5"/>
  <c r="S355" i="5"/>
  <c r="S602" i="5"/>
  <c r="X549" i="5"/>
  <c r="S603" i="5"/>
  <c r="S605" i="5"/>
  <c r="S607" i="5"/>
  <c r="S314"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B41" i="6" l="1"/>
  <c r="G41" i="6" s="1"/>
  <c r="F26" i="6"/>
  <c r="B46" i="6"/>
  <c r="G46" i="6" s="1"/>
  <c r="H21" i="6"/>
  <c r="B36" i="6"/>
  <c r="G36" i="6" s="1"/>
  <c r="G21" i="6"/>
  <c r="C17" i="6"/>
  <c r="F22" i="6"/>
  <c r="C27" i="6"/>
  <c r="B32" i="6"/>
  <c r="G32" i="6" s="1"/>
  <c r="B85" i="4"/>
  <c r="A60" i="6" s="1"/>
  <c r="G22" i="6"/>
  <c r="C42" i="6"/>
  <c r="B52" i="6"/>
  <c r="G52" i="6" s="1"/>
  <c r="F52" i="6"/>
  <c r="B47" i="6"/>
  <c r="G47" i="6" s="1"/>
  <c r="F47" i="6"/>
  <c r="H47" i="6" s="1"/>
  <c r="D47" i="6" s="1"/>
  <c r="C37" i="6"/>
  <c r="B49" i="4"/>
  <c r="A33" i="6" s="1"/>
  <c r="F37" i="6"/>
  <c r="H37" i="6" s="1"/>
  <c r="D37" i="6" s="1"/>
  <c r="F32" i="6"/>
  <c r="H32" i="6" s="1"/>
  <c r="D32" i="6" s="1"/>
  <c r="D21" i="6"/>
  <c r="K67" i="6"/>
  <c r="F46" i="6"/>
  <c r="H46" i="6" s="1"/>
  <c r="D46" i="6" s="1"/>
  <c r="H26" i="6"/>
  <c r="D26" i="6" s="1"/>
  <c r="C21" i="6"/>
  <c r="F31" i="6"/>
  <c r="H31" i="6" s="1"/>
  <c r="D31" i="6" s="1"/>
  <c r="B75" i="4"/>
  <c r="A54" i="6" s="1"/>
  <c r="C16" i="6"/>
  <c r="G20" i="6"/>
  <c r="H20" i="6" s="1"/>
  <c r="D20" i="6" s="1"/>
  <c r="B45" i="6"/>
  <c r="G45" i="6" s="1"/>
  <c r="D15" i="6"/>
  <c r="C20" i="6"/>
  <c r="C15" i="6"/>
  <c r="B25" i="6"/>
  <c r="G25" i="6" s="1"/>
  <c r="B30" i="6"/>
  <c r="G30" i="6" s="1"/>
  <c r="C9" i="6"/>
  <c r="B81" i="4"/>
  <c r="A58" i="6" s="1"/>
  <c r="B50" i="6"/>
  <c r="G50" i="6" s="1"/>
  <c r="B35" i="6"/>
  <c r="G35" i="6" s="1"/>
  <c r="B40" i="6"/>
  <c r="G40" i="6" s="1"/>
  <c r="F25" i="6"/>
  <c r="B31" i="4"/>
  <c r="A18" i="6" s="1"/>
  <c r="B87" i="4"/>
  <c r="A62" i="6" s="1"/>
  <c r="B55" i="4"/>
  <c r="A38" i="6" s="1"/>
  <c r="D14" i="6"/>
  <c r="B83" i="4"/>
  <c r="A59" i="6" s="1"/>
  <c r="B89" i="4"/>
  <c r="A63" i="6" s="1"/>
  <c r="B61" i="4"/>
  <c r="A43" i="6" s="1"/>
  <c r="B77" i="4"/>
  <c r="A55" i="6" s="1"/>
  <c r="B43" i="4"/>
  <c r="A28" i="6" s="1"/>
  <c r="C14" i="6"/>
  <c r="F19" i="6"/>
  <c r="B19" i="6"/>
  <c r="B39" i="6" s="1"/>
  <c r="G39" i="6" s="1"/>
  <c r="B34" i="6"/>
  <c r="G34" i="6" s="1"/>
  <c r="B37" i="4"/>
  <c r="A23" i="6" s="1"/>
  <c r="B67" i="4"/>
  <c r="A48" i="6" s="1"/>
  <c r="C12" i="6"/>
  <c r="C11" i="6"/>
  <c r="C10" i="6"/>
  <c r="C8" i="6"/>
  <c r="C7" i="6"/>
  <c r="B58" i="4"/>
  <c r="A41" i="6" s="1"/>
  <c r="B52" i="4"/>
  <c r="A36" i="6" s="1"/>
  <c r="B70" i="4"/>
  <c r="A51" i="6" s="1"/>
  <c r="A26" i="6"/>
  <c r="B34" i="4"/>
  <c r="A21" i="6" s="1"/>
  <c r="H6" i="6"/>
  <c r="D6" i="6" s="1"/>
  <c r="B57" i="4"/>
  <c r="A40" i="6" s="1"/>
  <c r="D43" i="4"/>
  <c r="D61" i="4"/>
  <c r="D37" i="4"/>
  <c r="D5" i="6"/>
  <c r="C5" i="6"/>
  <c r="C6" i="6"/>
  <c r="D55" i="4"/>
  <c r="B6" i="5"/>
  <c r="V6" i="5" s="1"/>
  <c r="G6" i="5" s="1"/>
  <c r="G43" i="4"/>
  <c r="G67" i="4"/>
  <c r="C4" i="6"/>
  <c r="C38" i="5"/>
  <c r="C37" i="5"/>
  <c r="C35" i="5"/>
  <c r="C26" i="5"/>
  <c r="C25" i="5"/>
  <c r="C24" i="5"/>
  <c r="C22" i="5"/>
  <c r="B27" i="5"/>
  <c r="B26" i="5"/>
  <c r="B25" i="5"/>
  <c r="B5" i="5"/>
  <c r="B24" i="5"/>
  <c r="B7" i="5"/>
  <c r="B63" i="4"/>
  <c r="A45" i="6" s="1"/>
  <c r="B51" i="4"/>
  <c r="A35" i="6" s="1"/>
  <c r="B33" i="4"/>
  <c r="A20" i="6" s="1"/>
  <c r="B69" i="4"/>
  <c r="A50" i="6" s="1"/>
  <c r="B68" i="4"/>
  <c r="A49" i="6" s="1"/>
  <c r="B62" i="4"/>
  <c r="A44" i="6" s="1"/>
  <c r="B50" i="4"/>
  <c r="A34" i="6" s="1"/>
  <c r="C23" i="5"/>
  <c r="B23" i="5"/>
  <c r="B14" i="5"/>
  <c r="A27" i="6"/>
  <c r="B65" i="4"/>
  <c r="A47" i="6" s="1"/>
  <c r="B71" i="4"/>
  <c r="A52" i="6" s="1"/>
  <c r="B59" i="4"/>
  <c r="A42" i="6" s="1"/>
  <c r="C21" i="5"/>
  <c r="B13" i="5"/>
  <c r="D74" i="4"/>
  <c r="D31" i="4"/>
  <c r="D67" i="4"/>
  <c r="C12" i="5"/>
  <c r="B12" i="5"/>
  <c r="C11" i="5"/>
  <c r="B11" i="5"/>
  <c r="C10" i="5"/>
  <c r="B10" i="5"/>
  <c r="C9" i="5"/>
  <c r="B9" i="5"/>
  <c r="B38" i="5"/>
  <c r="B56" i="4"/>
  <c r="A39" i="6" s="1"/>
  <c r="B15" i="5"/>
  <c r="B29" i="5"/>
  <c r="C13" i="5"/>
  <c r="C27" i="5"/>
  <c r="B16" i="5"/>
  <c r="B30" i="5"/>
  <c r="C14" i="5"/>
  <c r="C28" i="5"/>
  <c r="C7" i="5"/>
  <c r="B17" i="5"/>
  <c r="B31" i="5"/>
  <c r="C15" i="5"/>
  <c r="C29" i="5"/>
  <c r="B18" i="5"/>
  <c r="B32" i="5"/>
  <c r="C16" i="5"/>
  <c r="C30" i="5"/>
  <c r="B19" i="5"/>
  <c r="B33" i="5"/>
  <c r="C17" i="5"/>
  <c r="C31" i="5"/>
  <c r="C8" i="5"/>
  <c r="B20" i="5"/>
  <c r="B34" i="5"/>
  <c r="C18" i="5"/>
  <c r="C32" i="5"/>
  <c r="B21" i="5"/>
  <c r="B35" i="5"/>
  <c r="C19" i="5"/>
  <c r="C33" i="5"/>
  <c r="B22" i="5"/>
  <c r="B36" i="5"/>
  <c r="C20" i="5"/>
  <c r="C34" i="5"/>
  <c r="B37" i="5"/>
  <c r="C5" i="5"/>
  <c r="G74" i="4"/>
  <c r="G61" i="4"/>
  <c r="G31" i="4"/>
  <c r="G49" i="4"/>
  <c r="C36" i="5"/>
  <c r="B28" i="5"/>
  <c r="B8" i="5"/>
  <c r="G64" i="6"/>
  <c r="A17" i="6"/>
  <c r="A14" i="6"/>
  <c r="B32" i="4"/>
  <c r="A19" i="6" s="1"/>
  <c r="G55" i="4"/>
  <c r="C26" i="6" l="1"/>
  <c r="C31" i="6"/>
  <c r="F67" i="6"/>
  <c r="F41" i="6"/>
  <c r="F36" i="6"/>
  <c r="H36" i="6" s="1"/>
  <c r="F51" i="6"/>
  <c r="H51" i="6" s="1"/>
  <c r="H41" i="6"/>
  <c r="K66" i="6"/>
  <c r="H52" i="6"/>
  <c r="C32" i="6"/>
  <c r="C47" i="6"/>
  <c r="H22" i="6"/>
  <c r="C46" i="6"/>
  <c r="F50" i="6"/>
  <c r="H50" i="6" s="1"/>
  <c r="F35" i="6"/>
  <c r="H35" i="6" s="1"/>
  <c r="F30" i="6"/>
  <c r="H30" i="6" s="1"/>
  <c r="F66" i="6"/>
  <c r="F45" i="6"/>
  <c r="H45" i="6" s="1"/>
  <c r="H25" i="6"/>
  <c r="F40" i="6"/>
  <c r="H40" i="6" s="1"/>
  <c r="B29" i="6"/>
  <c r="G29" i="6" s="1"/>
  <c r="B44" i="6"/>
  <c r="G44" i="6" s="1"/>
  <c r="F24" i="6"/>
  <c r="G19" i="6"/>
  <c r="H19" i="6" s="1"/>
  <c r="B24" i="6"/>
  <c r="G24" i="6" s="1"/>
  <c r="B49" i="6"/>
  <c r="G49" i="6" s="1"/>
  <c r="AB6" i="5"/>
  <c r="AB26" i="5"/>
  <c r="V24" i="5"/>
  <c r="F24" i="5" s="1"/>
  <c r="V25" i="5"/>
  <c r="G25" i="5" s="1"/>
  <c r="AB24" i="5"/>
  <c r="AB7" i="5"/>
  <c r="AB25" i="5"/>
  <c r="F69" i="6"/>
  <c r="C69" i="6" s="1"/>
  <c r="V26" i="5"/>
  <c r="AB23" i="5"/>
  <c r="AB30" i="5"/>
  <c r="AB12" i="5"/>
  <c r="AB20" i="5"/>
  <c r="V11" i="5"/>
  <c r="G11" i="5" s="1"/>
  <c r="V20" i="5"/>
  <c r="AB33" i="5"/>
  <c r="AB16" i="5"/>
  <c r="V12" i="5"/>
  <c r="V10" i="5"/>
  <c r="V17" i="5"/>
  <c r="G17" i="5" s="1"/>
  <c r="AB36" i="5"/>
  <c r="V27" i="5"/>
  <c r="AB38" i="5"/>
  <c r="AB27" i="5"/>
  <c r="V31" i="5"/>
  <c r="G31" i="5" s="1"/>
  <c r="AB22" i="5"/>
  <c r="J6" i="5"/>
  <c r="E6" i="5"/>
  <c r="I6" i="5"/>
  <c r="R6" i="5"/>
  <c r="F6" i="5"/>
  <c r="H6" i="5"/>
  <c r="V14" i="5"/>
  <c r="V34" i="5"/>
  <c r="V30" i="5"/>
  <c r="G30" i="5" s="1"/>
  <c r="V36" i="5"/>
  <c r="V33" i="5"/>
  <c r="G33" i="5" s="1"/>
  <c r="V16" i="5"/>
  <c r="G16" i="5" s="1"/>
  <c r="AB29" i="5"/>
  <c r="V38" i="5"/>
  <c r="AB11" i="5"/>
  <c r="AB37" i="5"/>
  <c r="V13" i="5"/>
  <c r="V19" i="5"/>
  <c r="G19" i="5" s="1"/>
  <c r="AB32" i="5"/>
  <c r="AB15" i="5"/>
  <c r="V28" i="5"/>
  <c r="G28" i="5" s="1"/>
  <c r="AB28" i="5"/>
  <c r="AB35" i="5"/>
  <c r="AB18" i="5"/>
  <c r="AB13" i="5"/>
  <c r="V35" i="5"/>
  <c r="V5" i="5"/>
  <c r="G5" i="5" s="1"/>
  <c r="AB8" i="5"/>
  <c r="AB21" i="5"/>
  <c r="V29" i="5"/>
  <c r="G29" i="5" s="1"/>
  <c r="V37" i="5"/>
  <c r="V21" i="5"/>
  <c r="V8" i="5"/>
  <c r="G8" i="5" s="1"/>
  <c r="AB19" i="5"/>
  <c r="G67" i="6" s="1"/>
  <c r="H67" i="6" s="1"/>
  <c r="V32" i="5"/>
  <c r="G32" i="5" s="1"/>
  <c r="V15" i="5"/>
  <c r="G15" i="5" s="1"/>
  <c r="AB9" i="5"/>
  <c r="AB14" i="5"/>
  <c r="V7" i="5"/>
  <c r="V23" i="5"/>
  <c r="G66" i="6"/>
  <c r="H66" i="6" s="1"/>
  <c r="V18" i="5"/>
  <c r="G18" i="5" s="1"/>
  <c r="AB31" i="5"/>
  <c r="V9" i="5"/>
  <c r="G9" i="5" s="1"/>
  <c r="AB34" i="5"/>
  <c r="AB17" i="5"/>
  <c r="AB10" i="5"/>
  <c r="V22" i="5"/>
  <c r="AB5" i="5"/>
  <c r="G65" i="6"/>
  <c r="H64" i="6"/>
  <c r="B64" i="6"/>
  <c r="D36" i="6" l="1"/>
  <c r="C36" i="6"/>
  <c r="D41" i="6"/>
  <c r="C41" i="6"/>
  <c r="D51" i="6"/>
  <c r="C51" i="6"/>
  <c r="D22" i="6"/>
  <c r="C22" i="6"/>
  <c r="K68" i="6"/>
  <c r="D52" i="6"/>
  <c r="C52" i="6"/>
  <c r="D40" i="6"/>
  <c r="C40" i="6"/>
  <c r="D25" i="6"/>
  <c r="C25" i="6"/>
  <c r="D45" i="6"/>
  <c r="C45" i="6"/>
  <c r="D30" i="6"/>
  <c r="C30" i="6"/>
  <c r="D35" i="6"/>
  <c r="C35" i="6"/>
  <c r="D50" i="6"/>
  <c r="C50" i="6"/>
  <c r="D19" i="6"/>
  <c r="K65" i="6"/>
  <c r="C19" i="6"/>
  <c r="R24" i="5"/>
  <c r="J24" i="5"/>
  <c r="H24" i="6"/>
  <c r="F29" i="6"/>
  <c r="H29" i="6" s="1"/>
  <c r="F44" i="6"/>
  <c r="H44" i="6" s="1"/>
  <c r="F34" i="6"/>
  <c r="H34" i="6" s="1"/>
  <c r="F39" i="6"/>
  <c r="H39" i="6" s="1"/>
  <c r="F65" i="6"/>
  <c r="F54" i="6"/>
  <c r="F49" i="6"/>
  <c r="H49" i="6" s="1"/>
  <c r="H24" i="5"/>
  <c r="R25" i="5"/>
  <c r="E25" i="5"/>
  <c r="X25" i="5" s="1"/>
  <c r="F25" i="5"/>
  <c r="I25" i="5"/>
  <c r="G24" i="5"/>
  <c r="H25" i="5"/>
  <c r="I24" i="5"/>
  <c r="J25" i="5"/>
  <c r="E24" i="5"/>
  <c r="X24" i="5" s="1"/>
  <c r="F26" i="5"/>
  <c r="J26" i="5"/>
  <c r="H26" i="5"/>
  <c r="I26" i="5"/>
  <c r="R26" i="5"/>
  <c r="E26" i="5"/>
  <c r="G26" i="5"/>
  <c r="C67" i="6"/>
  <c r="D67" i="6"/>
  <c r="I22" i="5"/>
  <c r="R22" i="5"/>
  <c r="H22" i="5"/>
  <c r="E22" i="5"/>
  <c r="F22" i="5"/>
  <c r="J22" i="5"/>
  <c r="G22" i="5"/>
  <c r="I10" i="5"/>
  <c r="F10" i="5"/>
  <c r="H10" i="5"/>
  <c r="J10" i="5"/>
  <c r="R10" i="5"/>
  <c r="E10" i="5"/>
  <c r="J12" i="5"/>
  <c r="H12" i="5"/>
  <c r="R12" i="5"/>
  <c r="I12" i="5"/>
  <c r="F12" i="5"/>
  <c r="E12" i="5"/>
  <c r="E27" i="5"/>
  <c r="H27" i="5"/>
  <c r="R27" i="5"/>
  <c r="J27" i="5"/>
  <c r="I27" i="5"/>
  <c r="F27" i="5"/>
  <c r="E13" i="5"/>
  <c r="I13" i="5"/>
  <c r="H13" i="5"/>
  <c r="R13" i="5"/>
  <c r="J13" i="5"/>
  <c r="F13" i="5"/>
  <c r="E16" i="5"/>
  <c r="H16" i="5"/>
  <c r="J16" i="5"/>
  <c r="R16" i="5"/>
  <c r="I16" i="5"/>
  <c r="F16" i="5"/>
  <c r="E21" i="5"/>
  <c r="R21" i="5"/>
  <c r="H21" i="5"/>
  <c r="I21" i="5"/>
  <c r="J21" i="5"/>
  <c r="F21" i="5"/>
  <c r="G27" i="5"/>
  <c r="I19" i="5"/>
  <c r="H19" i="5"/>
  <c r="R19" i="5"/>
  <c r="J19" i="5"/>
  <c r="F19" i="5"/>
  <c r="E19" i="5"/>
  <c r="E34" i="5"/>
  <c r="R34" i="5"/>
  <c r="F34" i="5"/>
  <c r="J34" i="5"/>
  <c r="H34" i="5"/>
  <c r="I34" i="5"/>
  <c r="E8" i="5"/>
  <c r="J8" i="5"/>
  <c r="H8" i="5"/>
  <c r="F8" i="5"/>
  <c r="R8" i="5"/>
  <c r="I8" i="5"/>
  <c r="E14" i="5"/>
  <c r="R14" i="5"/>
  <c r="I14" i="5"/>
  <c r="J14" i="5"/>
  <c r="F14" i="5"/>
  <c r="H14" i="5"/>
  <c r="I18" i="5"/>
  <c r="F18" i="5"/>
  <c r="J18" i="5"/>
  <c r="R18" i="5"/>
  <c r="E18" i="5"/>
  <c r="H18" i="5"/>
  <c r="G21" i="5"/>
  <c r="E35" i="5"/>
  <c r="H35" i="5"/>
  <c r="R35" i="5"/>
  <c r="J35" i="5"/>
  <c r="I35" i="5"/>
  <c r="F35" i="5"/>
  <c r="G35" i="5"/>
  <c r="I33" i="5"/>
  <c r="R33" i="5"/>
  <c r="E33" i="5"/>
  <c r="J33" i="5"/>
  <c r="H33" i="5"/>
  <c r="F33" i="5"/>
  <c r="F28" i="5"/>
  <c r="E28" i="5"/>
  <c r="I28" i="5"/>
  <c r="H28" i="5"/>
  <c r="R28" i="5"/>
  <c r="J28" i="5"/>
  <c r="J36" i="5"/>
  <c r="H36" i="5"/>
  <c r="F36" i="5"/>
  <c r="E36" i="5"/>
  <c r="R36" i="5"/>
  <c r="I36" i="5"/>
  <c r="H31" i="5"/>
  <c r="J31" i="5"/>
  <c r="I31" i="5"/>
  <c r="F31" i="5"/>
  <c r="E31" i="5"/>
  <c r="R31" i="5"/>
  <c r="D66" i="6"/>
  <c r="C66" i="6"/>
  <c r="I37" i="5"/>
  <c r="J37" i="5"/>
  <c r="R37" i="5"/>
  <c r="H37" i="5"/>
  <c r="E37" i="5"/>
  <c r="F37" i="5"/>
  <c r="G37" i="5"/>
  <c r="E15" i="5"/>
  <c r="J15" i="5"/>
  <c r="I15" i="5"/>
  <c r="F15" i="5"/>
  <c r="H15" i="5"/>
  <c r="R15" i="5"/>
  <c r="G10" i="5"/>
  <c r="I5" i="5"/>
  <c r="H5" i="5"/>
  <c r="E5" i="5"/>
  <c r="J5" i="5"/>
  <c r="R5" i="5"/>
  <c r="F5" i="5"/>
  <c r="G14" i="5"/>
  <c r="G12" i="5"/>
  <c r="G13" i="5"/>
  <c r="I23" i="5"/>
  <c r="E23" i="5"/>
  <c r="F23" i="5"/>
  <c r="R23" i="5"/>
  <c r="H23" i="5"/>
  <c r="J23" i="5"/>
  <c r="G23" i="5"/>
  <c r="H32" i="5"/>
  <c r="R32" i="5"/>
  <c r="J32" i="5"/>
  <c r="F32" i="5"/>
  <c r="I32" i="5"/>
  <c r="E32" i="5"/>
  <c r="G36" i="5"/>
  <c r="X6" i="5"/>
  <c r="E20" i="5"/>
  <c r="R20" i="5"/>
  <c r="H20" i="5"/>
  <c r="J20" i="5"/>
  <c r="I20" i="5"/>
  <c r="F20" i="5"/>
  <c r="G68" i="6"/>
  <c r="H68" i="6" s="1"/>
  <c r="J29" i="5"/>
  <c r="F29" i="5"/>
  <c r="E29" i="5"/>
  <c r="R29" i="5"/>
  <c r="H29" i="5"/>
  <c r="I29" i="5"/>
  <c r="E7" i="5"/>
  <c r="J7" i="5"/>
  <c r="R7" i="5"/>
  <c r="I7" i="5"/>
  <c r="H7" i="5"/>
  <c r="F7" i="5"/>
  <c r="F38" i="5"/>
  <c r="J38" i="5"/>
  <c r="H38" i="5"/>
  <c r="E38" i="5"/>
  <c r="R38" i="5"/>
  <c r="I38" i="5"/>
  <c r="G38" i="5"/>
  <c r="R30" i="5"/>
  <c r="E30" i="5"/>
  <c r="H30" i="5"/>
  <c r="I30" i="5"/>
  <c r="F30" i="5"/>
  <c r="J30" i="5"/>
  <c r="H17" i="5"/>
  <c r="I17" i="5"/>
  <c r="J17" i="5"/>
  <c r="R17" i="5"/>
  <c r="E17" i="5"/>
  <c r="F17" i="5"/>
  <c r="G20" i="5"/>
  <c r="E9" i="5"/>
  <c r="H9" i="5"/>
  <c r="F9" i="5"/>
  <c r="J9" i="5"/>
  <c r="I9" i="5"/>
  <c r="R9" i="5"/>
  <c r="G7" i="5"/>
  <c r="G34" i="5"/>
  <c r="H11" i="5"/>
  <c r="R11" i="5"/>
  <c r="J11" i="5"/>
  <c r="F11" i="5"/>
  <c r="I11" i="5"/>
  <c r="E11" i="5"/>
  <c r="D64" i="6"/>
  <c r="C64" i="6"/>
  <c r="S26" i="5"/>
  <c r="S6" i="5"/>
  <c r="S24" i="5"/>
  <c r="D39" i="6" l="1"/>
  <c r="C39" i="6"/>
  <c r="D34" i="6"/>
  <c r="C34" i="6"/>
  <c r="D44" i="6"/>
  <c r="C44" i="6"/>
  <c r="C2" i="6"/>
  <c r="B2" i="6"/>
  <c r="D29" i="6"/>
  <c r="C29" i="6"/>
  <c r="D24" i="6"/>
  <c r="C24" i="6"/>
  <c r="D49" i="6"/>
  <c r="C49" i="6"/>
  <c r="H65" i="6"/>
  <c r="F60" i="6"/>
  <c r="H60" i="6" s="1"/>
  <c r="F55" i="6"/>
  <c r="F63" i="6"/>
  <c r="H63" i="6" s="1"/>
  <c r="F59" i="6"/>
  <c r="H59" i="6" s="1"/>
  <c r="F58" i="6"/>
  <c r="H58" i="6" s="1"/>
  <c r="F57" i="6"/>
  <c r="H57" i="6" s="1"/>
  <c r="H54" i="6"/>
  <c r="F62" i="6"/>
  <c r="H62" i="6" s="1"/>
  <c r="X26" i="5"/>
  <c r="X23" i="5"/>
  <c r="X21" i="5"/>
  <c r="X11" i="5"/>
  <c r="X29" i="5"/>
  <c r="X13" i="5"/>
  <c r="X31" i="5"/>
  <c r="X14" i="5"/>
  <c r="X34" i="5"/>
  <c r="X17" i="5"/>
  <c r="X38" i="5"/>
  <c r="X28" i="5"/>
  <c r="X35" i="5"/>
  <c r="X19" i="5"/>
  <c r="X32" i="5"/>
  <c r="X27" i="5"/>
  <c r="X18" i="5"/>
  <c r="X12" i="5"/>
  <c r="D68" i="6"/>
  <c r="C68" i="6"/>
  <c r="X15" i="5"/>
  <c r="X16" i="5"/>
  <c r="X22" i="5"/>
  <c r="X37" i="5"/>
  <c r="X33" i="5"/>
  <c r="X8" i="5"/>
  <c r="X36" i="5"/>
  <c r="G69" i="6" a="1"/>
  <c r="G69" i="6" s="1"/>
  <c r="H69" i="6" s="1"/>
  <c r="X5" i="5"/>
  <c r="X20" i="5"/>
  <c r="X9" i="5"/>
  <c r="X30" i="5"/>
  <c r="X7" i="5"/>
  <c r="X10" i="5"/>
  <c r="T24" i="5"/>
  <c r="S8" i="5"/>
  <c r="T26" i="5"/>
  <c r="S21" i="5"/>
  <c r="T6" i="5"/>
  <c r="S37" i="5"/>
  <c r="S25" i="5"/>
  <c r="S19" i="5"/>
  <c r="S33" i="5"/>
  <c r="S16" i="5"/>
  <c r="S14" i="5"/>
  <c r="S27" i="5"/>
  <c r="S9" i="5"/>
  <c r="S38" i="5"/>
  <c r="S30" i="5"/>
  <c r="S36" i="5"/>
  <c r="S18" i="5"/>
  <c r="S28" i="5"/>
  <c r="S34" i="5"/>
  <c r="S15" i="5"/>
  <c r="S20" i="5"/>
  <c r="S23" i="5"/>
  <c r="S32" i="5"/>
  <c r="S22" i="5"/>
  <c r="S17" i="5"/>
  <c r="S35" i="5"/>
  <c r="S5" i="5"/>
  <c r="S31" i="5"/>
  <c r="S12" i="5"/>
  <c r="S11" i="5"/>
  <c r="S13" i="5"/>
  <c r="S7" i="5"/>
  <c r="S10" i="5"/>
  <c r="S29" i="5"/>
  <c r="D62" i="6" l="1"/>
  <c r="C62" i="6"/>
  <c r="D59" i="6"/>
  <c r="C59" i="6"/>
  <c r="D63" i="6"/>
  <c r="C63" i="6"/>
  <c r="F56" i="6"/>
  <c r="H56" i="6" s="1"/>
  <c r="H55" i="6"/>
  <c r="H70" i="6" s="1"/>
  <c r="D2" i="6" s="1"/>
  <c r="D54" i="6"/>
  <c r="C54" i="6"/>
  <c r="D57" i="6"/>
  <c r="C57" i="6"/>
  <c r="D58" i="6"/>
  <c r="C58" i="6"/>
  <c r="D60" i="6"/>
  <c r="C60" i="6"/>
  <c r="D65" i="6"/>
  <c r="C65" i="6"/>
  <c r="T18" i="5"/>
  <c r="T10" i="5"/>
  <c r="T7" i="5"/>
  <c r="T37" i="5"/>
  <c r="T14" i="5"/>
  <c r="T38" i="5"/>
  <c r="T36" i="5"/>
  <c r="T12" i="5"/>
  <c r="T32" i="5"/>
  <c r="T21" i="5"/>
  <c r="T23" i="5"/>
  <c r="T35" i="5"/>
  <c r="T29" i="5"/>
  <c r="T16" i="5"/>
  <c r="T20" i="5"/>
  <c r="T15" i="5"/>
  <c r="T8" i="5"/>
  <c r="T25" i="5"/>
  <c r="T17" i="5"/>
  <c r="T22" i="5"/>
  <c r="T28" i="5"/>
  <c r="T34" i="5"/>
  <c r="T9" i="5"/>
  <c r="T13" i="5"/>
  <c r="T5" i="5"/>
  <c r="T31" i="5"/>
  <c r="T33" i="5"/>
  <c r="T11" i="5"/>
  <c r="T19" i="5"/>
  <c r="T27" i="5"/>
  <c r="T30" i="5"/>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<sst xmlns="http://schemas.openxmlformats.org/spreadsheetml/2006/main" count="22540" uniqueCount="15868">
  <si>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</si>
  <si>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</si>
  <si>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</si>
  <si>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</si>
  <si>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</si>
  <si>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</si>
  <si>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</si>
  <si>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</si>
  <si>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</si>
  <si>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</si>
  <si>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</si>
  <si>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</si>
  <si>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</si>
  <si>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</si>
  <si>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</si>
  <si>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</si>
  <si>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</si>
  <si>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</si>
  <si>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</si>
  <si>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</si>
  <si>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</si>
  <si>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</si>
  <si>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</si>
  <si>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</si>
  <si>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</si>
  <si>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</si>
  <si>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</si>
  <si>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</si>
  <si>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</si>
  <si>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</si>
  <si>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</si>
  <si>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</si>
  <si>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</si>
  <si>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</si>
  <si>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</si>
  <si>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</si>
  <si>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</si>
  <si>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</si>
  <si>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</si>
  <si>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</si>
  <si>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</si>
  <si>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</si>
  <si>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</si>
  <si>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</si>
  <si>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</si>
  <si>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</si>
  <si>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</si>
  <si>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</si>
  <si>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</si>
  <si>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</si>
  <si>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</si>
  <si>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</si>
  <si>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</si>
  <si>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</si>
  <si>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</si>
  <si>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</si>
  <si>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</si>
  <si>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</si>
  <si>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</si>
  <si>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</si>
  <si>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</si>
  <si>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</si>
  <si>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</si>
  <si>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</si>
  <si>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</si>
  <si>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</si>
  <si>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</si>
  <si>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</si>
  <si>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</si>
  <si>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</si>
  <si>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</si>
  <si>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</si>
  <si>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</si>
  <si>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</si>
  <si>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</si>
  <si>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</si>
  <si>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</si>
  <si>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</si>
  <si>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</si>
  <si>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</si>
  <si>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</si>
  <si>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</si>
  <si>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</si>
  <si>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</si>
  <si>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</si>
  <si>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</si>
  <si>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</si>
  <si>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</si>
  <si>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</si>
  <si>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</si>
  <si>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</si>
  <si>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</si>
  <si>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</si>
  <si>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</si>
  <si>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</si>
  <si>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</si>
  <si>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</si>
  <si>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</si>
  <si>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</si>
  <si>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</si>
  <si>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</si>
  <si>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</si>
  <si>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</si>
  <si>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</si>
  <si>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</si>
  <si>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</si>
  <si>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</si>
  <si>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</si>
  <si>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</si>
  <si>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</si>
  <si>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</si>
  <si>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</si>
  <si>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</si>
  <si>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</si>
  <si>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</si>
  <si>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</si>
  <si>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</si>
  <si>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</si>
  <si>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</si>
  <si>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</si>
  <si>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</si>
  <si>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</si>
  <si>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</si>
  <si>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</si>
  <si>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</si>
  <si>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</si>
  <si>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</si>
  <si>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</si>
  <si>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</si>
  <si>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</si>
  <si>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</si>
  <si>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</si>
  <si>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</si>
  <si>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</si>
  <si>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</si>
  <si>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</si>
  <si>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</si>
  <si>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</si>
  <si>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</si>
  <si>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</si>
  <si>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</si>
  <si>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</si>
  <si>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</si>
  <si>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</si>
  <si>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</si>
  <si>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</si>
  <si>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</si>
  <si>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</si>
  <si>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</si>
  <si>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</si>
  <si>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</si>
  <si>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</si>
  <si>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</si>
  <si>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</si>
  <si>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</si>
  <si>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</si>
  <si>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</si>
  <si>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</si>
  <si>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</si>
  <si>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</si>
  <si>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</si>
  <si>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</si>
  <si>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</si>
  <si>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</si>
  <si>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</si>
  <si>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</si>
  <si>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</si>
  <si>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</si>
  <si>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</si>
  <si>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</si>
  <si>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</si>
  <si>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</si>
  <si>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</si>
  <si>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</si>
  <si>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</si>
  <si>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</si>
  <si>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</si>
  <si>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</si>
  <si>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</si>
  <si>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</si>
  <si>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</si>
  <si>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</si>
  <si>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</si>
  <si>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</si>
  <si>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</si>
  <si>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</si>
  <si>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</si>
  <si>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</si>
  <si>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</si>
  <si>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</si>
  <si>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</si>
  <si>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</si>
  <si>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</si>
  <si>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</si>
  <si>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</si>
  <si>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</si>
  <si>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</si>
  <si>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</si>
  <si>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</si>
  <si>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</si>
  <si>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</si>
  <si>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</si>
  <si>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</si>
  <si>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</si>
  <si>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</si>
  <si>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</si>
  <si>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</si>
  <si>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</si>
  <si>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</si>
  <si>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</si>
  <si>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</si>
  <si>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</si>
  <si>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</si>
  <si>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</si>
  <si>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</si>
  <si>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</si>
  <si>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</si>
  <si>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</si>
  <si>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</si>
  <si>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</si>
  <si>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</si>
  <si>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</si>
  <si>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</si>
  <si>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</si>
  <si>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</si>
  <si>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</si>
  <si>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</si>
  <si>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</si>
  <si>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</si>
  <si>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</si>
  <si>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</si>
  <si>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</si>
  <si>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</si>
  <si>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</si>
  <si>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</si>
  <si>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</si>
  <si>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</si>
  <si>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</si>
  <si>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</si>
  <si>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</si>
  <si>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</si>
  <si>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</si>
  <si>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</si>
  <si>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</si>
  <si>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</si>
  <si>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</si>
  <si>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</si>
  <si>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</si>
  <si>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</si>
  <si>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</si>
  <si>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</si>
  <si>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</si>
  <si>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</si>
  <si>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</si>
  <si>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</si>
  <si>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</si>
  <si>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</si>
  <si>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</si>
  <si>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</si>
  <si>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</si>
  <si>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</si>
  <si>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</si>
  <si>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</si>
  <si>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</si>
  <si>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</si>
  <si>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</si>
  <si>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</si>
  <si>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</si>
  <si>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</si>
  <si>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</si>
  <si>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</si>
  <si>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</si>
  <si>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</si>
  <si>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</si>
  <si>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</si>
  <si>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</si>
  <si>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</si>
  <si>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</si>
  <si>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</si>
  <si>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</si>
  <si>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</si>
  <si>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</si>
  <si>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</si>
  <si>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</si>
  <si>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</si>
  <si>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</si>
  <si>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</si>
  <si>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</si>
  <si>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</si>
  <si>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</si>
  <si>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</si>
  <si>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</si>
  <si>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</si>
  <si>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</si>
  <si>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</si>
  <si>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</si>
  <si>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</si>
  <si>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</si>
  <si>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</si>
  <si>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</si>
  <si>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</si>
  <si>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</si>
  <si>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</si>
  <si>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</si>
  <si>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</si>
  <si>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</si>
  <si>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</si>
  <si>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</si>
  <si>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</si>
  <si>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</si>
  <si>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</si>
  <si>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</si>
  <si>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</si>
  <si>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</si>
  <si>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</si>
  <si>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</si>
  <si>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</si>
  <si>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</si>
  <si>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</si>
  <si>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</si>
  <si>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</si>
  <si>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</si>
  <si>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</si>
  <si>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</si>
  <si>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</si>
  <si>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</si>
  <si>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</si>
  <si>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</si>
  <si>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</si>
  <si>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</si>
  <si>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</si>
  <si>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</si>
  <si>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</si>
  <si>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</si>
  <si>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</si>
  <si>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</si>
  <si>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</si>
  <si>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</si>
  <si>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</si>
  <si>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</si>
  <si>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</si>
  <si>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</si>
  <si>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</si>
  <si>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</si>
  <si>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</si>
  <si>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</si>
  <si>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</si>
  <si>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</si>
  <si>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</si>
  <si>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</si>
  <si>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</si>
  <si>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</si>
  <si>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</si>
  <si>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</si>
  <si>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</si>
  <si>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</si>
  <si>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</si>
  <si>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</si>
  <si>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</si>
  <si>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</si>
  <si>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</si>
  <si>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</si>
  <si>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</si>
  <si>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</si>
  <si>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</si>
  <si>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</si>
  <si>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</si>
  <si>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</si>
  <si>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</si>
  <si>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</si>
  <si>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</si>
  <si>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</si>
  <si>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</si>
  <si>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</si>
  <si>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</si>
  <si>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</si>
  <si>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</si>
  <si>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</si>
  <si>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</si>
  <si>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</si>
  <si>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</si>
  <si>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</si>
  <si>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</si>
  <si>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</si>
  <si>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</si>
  <si>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</si>
  <si>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</si>
  <si>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</si>
  <si>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</si>
  <si>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</si>
  <si>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</si>
  <si>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</si>
  <si>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</si>
  <si>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</si>
  <si>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</si>
  <si>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</si>
  <si>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</si>
  <si>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</si>
  <si>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</si>
  <si>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</si>
  <si>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</si>
  <si>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</si>
  <si>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</si>
  <si>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</si>
  <si>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</si>
  <si>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</si>
  <si>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</si>
  <si>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</si>
  <si>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</si>
  <si>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</si>
  <si>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</si>
  <si>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</si>
  <si>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</si>
  <si>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</si>
  <si>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</si>
  <si>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</si>
  <si>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</si>
  <si>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</si>
  <si>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</si>
  <si>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</si>
  <si>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</si>
  <si>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</si>
  <si>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</si>
  <si>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</si>
  <si>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</si>
  <si>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</si>
  <si>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</si>
  <si>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</si>
  <si>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</si>
  <si>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</si>
  <si>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</si>
  <si>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</si>
  <si>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</si>
  <si>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</si>
  <si>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</si>
  <si>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</si>
  <si>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</si>
  <si>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</si>
  <si>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</si>
  <si>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</si>
  <si>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</si>
  <si>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</si>
  <si>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</si>
  <si>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</si>
  <si>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</si>
  <si>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</si>
  <si>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</si>
  <si>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</si>
  <si>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</si>
  <si>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</si>
  <si>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</si>
  <si>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</si>
  <si>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</si>
  <si>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</si>
  <si>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</si>
  <si>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</si>
  <si>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</si>
  <si>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</si>
  <si>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</si>
  <si>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</si>
  <si>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</si>
  <si>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</si>
  <si>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</si>
  <si>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</si>
  <si>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</si>
  <si>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</si>
  <si>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</si>
  <si>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</si>
  <si>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</si>
  <si>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</si>
  <si>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</si>
  <si>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</si>
  <si>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</si>
  <si>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</si>
  <si>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</si>
  <si>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</si>
  <si>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</si>
  <si>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</si>
  <si>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</si>
  <si>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</si>
  <si>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</si>
  <si>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</si>
  <si>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</si>
  <si>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</si>
  <si>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</si>
  <si>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</si>
  <si>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</si>
  <si>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</si>
  <si>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</si>
  <si>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</si>
  <si>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</si>
  <si>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</si>
  <si>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</si>
  <si>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</si>
  <si>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</si>
  <si>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</si>
  <si>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</si>
  <si>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</si>
  <si>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</si>
  <si>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</si>
  <si>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</si>
  <si>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</si>
  <si>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</si>
  <si>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</si>
  <si>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</si>
  <si>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</si>
  <si>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</si>
  <si>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</si>
  <si>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</si>
  <si>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</si>
  <si>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</si>
  <si>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</si>
  <si>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</si>
  <si>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</si>
  <si>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</si>
  <si>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</si>
  <si>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</si>
  <si>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</si>
  <si>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</si>
  <si>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</si>
  <si>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</si>
  <si>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</si>
  <si>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</si>
  <si>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</si>
  <si>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</si>
  <si>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</si>
  <si>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</si>
  <si>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</si>
  <si>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</si>
  <si>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</si>
  <si>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</si>
  <si>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</si>
  <si>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</si>
  <si>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</si>
  <si>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</si>
  <si>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</si>
  <si>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</si>
  <si>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</si>
  <si>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</si>
  <si>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</si>
  <si>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</si>
  <si>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</si>
  <si>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</si>
  <si>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</si>
  <si>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</si>
  <si>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</si>
  <si>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</si>
  <si>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</si>
  <si>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</si>
  <si>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</si>
  <si>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</si>
  <si>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</si>
  <si>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</si>
  <si>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</si>
  <si>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</si>
  <si>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</si>
  <si>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</si>
  <si>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</si>
  <si>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</si>
  <si>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</si>
  <si>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</si>
  <si>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</si>
  <si>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</si>
  <si>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</si>
  <si>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</si>
  <si>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</si>
  <si>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</si>
  <si>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</si>
  <si>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</si>
  <si>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</si>
  <si>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</si>
  <si>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</si>
  <si>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</si>
  <si>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</si>
  <si>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</si>
  <si>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</si>
  <si>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</si>
  <si>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</si>
  <si>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</si>
  <si>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</si>
  <si>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</si>
  <si>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</si>
  <si>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</si>
  <si>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</si>
  <si>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</si>
  <si>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</si>
  <si>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</si>
  <si>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</si>
  <si>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</si>
  <si>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</si>
  <si>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</si>
  <si>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</si>
  <si>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</si>
  <si>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</si>
  <si>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</si>
  <si>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</si>
  <si>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</si>
  <si>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</si>
  <si>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</si>
  <si>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</si>
  <si>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</si>
  <si>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</si>
  <si>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</si>
  <si>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</si>
  <si>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</si>
  <si>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</si>
  <si>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</si>
  <si>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</si>
  <si>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</si>
  <si>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</si>
  <si>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</si>
  <si>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</si>
  <si>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</si>
  <si>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</si>
  <si>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</si>
  <si>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</si>
  <si>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</si>
  <si>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</si>
  <si>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</si>
  <si>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</si>
  <si>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</si>
  <si>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</si>
  <si>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</si>
  <si>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</si>
  <si>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</si>
  <si>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</si>
  <si>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</si>
  <si>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</si>
  <si>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</si>
  <si>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</si>
  <si>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</si>
  <si>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</si>
  <si>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</si>
  <si>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</si>
  <si>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</si>
  <si>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</si>
  <si>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</si>
  <si>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</si>
  <si>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</si>
  <si>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</si>
  <si>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</si>
  <si>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</si>
  <si>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</si>
  <si>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</si>
  <si>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</si>
  <si>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</si>
  <si>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</si>
  <si>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</si>
  <si>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</si>
  <si>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</si>
  <si>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</si>
  <si>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</si>
  <si>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</si>
  <si>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</si>
  <si>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</si>
  <si>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</si>
  <si>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</si>
  <si>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</si>
  <si>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</si>
  <si>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</si>
  <si>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</si>
  <si>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</si>
  <si>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</si>
  <si>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</si>
  <si>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</si>
  <si>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</si>
  <si>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</si>
  <si>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</si>
  <si>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</si>
  <si>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</si>
  <si>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</si>
  <si>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</si>
  <si>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</si>
  <si>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</si>
  <si>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</si>
  <si>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</si>
  <si>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</si>
  <si>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</si>
  <si>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</si>
  <si>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</si>
  <si>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</si>
  <si>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</si>
  <si>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</si>
  <si>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</si>
  <si>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</si>
  <si>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</si>
  <si>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</si>
  <si>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</si>
  <si>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</si>
  <si>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</si>
  <si>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</si>
  <si>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</si>
  <si>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</si>
  <si>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</si>
  <si>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</si>
  <si>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</si>
  <si>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</si>
  <si>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</si>
  <si>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</si>
  <si>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</si>
  <si>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</si>
  <si>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</si>
  <si>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</si>
  <si>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</si>
  <si>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</si>
  <si>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</si>
  <si>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</si>
  <si>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</si>
  <si>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</si>
  <si>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</si>
  <si>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</si>
  <si>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</si>
  <si>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</si>
  <si>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</si>
  <si>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</si>
  <si>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</si>
  <si>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</si>
  <si>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</si>
  <si>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</si>
  <si>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</si>
  <si>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</si>
  <si>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</si>
  <si>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</si>
  <si>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</si>
  <si>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</si>
  <si>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</si>
  <si>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</si>
  <si>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</si>
  <si>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</si>
  <si>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</si>
  <si>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</si>
  <si>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</si>
  <si>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</si>
  <si>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</si>
  <si>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</si>
  <si>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</si>
  <si>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</si>
  <si>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</si>
  <si>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</si>
  <si>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</si>
  <si>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</si>
  <si>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</si>
  <si>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</si>
  <si>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</si>
  <si>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</si>
  <si>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</si>
  <si>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</si>
  <si>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</si>
  <si>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</si>
  <si>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</si>
  <si>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</si>
  <si>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</si>
  <si>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</si>
  <si>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</si>
  <si>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</si>
  <si>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</si>
  <si>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</si>
  <si>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</si>
  <si>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</si>
  <si>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</si>
  <si>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</si>
  <si>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</si>
  <si>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</si>
  <si>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</si>
  <si>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</si>
  <si>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</si>
  <si>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</si>
  <si>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</si>
  <si>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</si>
  <si>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</si>
  <si>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</si>
  <si>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</si>
  <si>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</si>
  <si>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</si>
  <si>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</si>
  <si>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</si>
  <si>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</si>
  <si>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</si>
  <si>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</si>
  <si>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</si>
  <si>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</si>
  <si>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</si>
  <si>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</si>
  <si>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</si>
  <si>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</si>
  <si>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</si>
  <si>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</si>
  <si>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</si>
  <si>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</si>
  <si>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</si>
  <si>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</si>
  <si>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</si>
  <si>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</si>
  <si>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</si>
  <si>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</si>
  <si>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</si>
  <si>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</si>
  <si>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</si>
  <si>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</si>
  <si>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</si>
  <si>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</si>
  <si>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</si>
  <si>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</si>
  <si>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</si>
  <si>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</si>
  <si>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</si>
  <si>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</si>
  <si>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</si>
  <si>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</si>
  <si>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</si>
  <si>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</si>
  <si>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</si>
  <si>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</si>
  <si>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</si>
  <si>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</si>
  <si>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</si>
  <si>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</si>
  <si>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</si>
  <si>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</si>
  <si>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</si>
  <si>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</si>
  <si>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</si>
  <si>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</si>
  <si>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</si>
  <si>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</si>
  <si>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</si>
  <si>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</si>
  <si>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</si>
  <si>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</si>
  <si>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</si>
  <si>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</si>
  <si>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</si>
  <si>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</si>
  <si>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</si>
  <si>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</si>
  <si>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</si>
  <si>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</si>
  <si>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</si>
  <si>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</si>
  <si>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</si>
  <si>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</si>
  <si>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</si>
  <si>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</si>
  <si>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</si>
  <si>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</si>
  <si>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</si>
  <si>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</si>
  <si>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</si>
  <si>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</si>
  <si>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</si>
  <si>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</si>
  <si>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</si>
  <si>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</si>
  <si>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</si>
  <si>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</si>
  <si>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</si>
  <si>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</si>
  <si>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</si>
  <si>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</si>
  <si>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</si>
  <si>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</si>
  <si>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</si>
  <si>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</si>
  <si>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</si>
  <si>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</si>
  <si>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</si>
  <si>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</si>
  <si>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</si>
  <si>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</si>
  <si>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</si>
  <si>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</si>
  <si>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</si>
  <si>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</si>
  <si>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</si>
  <si>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</si>
  <si>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</si>
  <si>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</si>
  <si>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</si>
  <si>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</si>
  <si>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</si>
  <si>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</si>
  <si>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</si>
  <si>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</si>
  <si>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</si>
  <si>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</si>
  <si>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</si>
  <si>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</si>
  <si>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</si>
  <si>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</si>
  <si>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</si>
  <si>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</si>
  <si>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</si>
  <si>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</si>
  <si>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</si>
  <si>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</si>
  <si>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</si>
  <si>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</si>
  <si>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</si>
  <si>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</si>
  <si>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</si>
  <si>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</si>
  <si>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</si>
  <si>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</si>
  <si>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</si>
  <si>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</si>
  <si>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</si>
  <si>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</si>
  <si>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</si>
  <si>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</si>
  <si>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</si>
  <si>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</si>
  <si>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</si>
  <si>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</si>
  <si>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</si>
  <si>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</si>
  <si>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</si>
  <si>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</si>
  <si>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</si>
  <si>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</si>
  <si>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</si>
  <si>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</si>
  <si>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</si>
  <si>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</si>
  <si>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</si>
  <si>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</si>
  <si>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</si>
  <si>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</si>
  <si>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</si>
  <si>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</si>
  <si>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</si>
  <si>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</si>
  <si>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</si>
  <si>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</si>
  <si>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</si>
  <si>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</si>
  <si>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</si>
  <si>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</si>
  <si>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</si>
  <si>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</si>
  <si>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</si>
  <si>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</si>
  <si>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</si>
  <si>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</si>
  <si>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</si>
  <si>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</si>
  <si>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</si>
  <si>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</si>
  <si>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</si>
  <si>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</si>
  <si>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</si>
  <si>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</si>
  <si>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</si>
  <si>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</si>
  <si>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</si>
  <si>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</si>
  <si>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</si>
  <si>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</si>
  <si>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</si>
  <si>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</si>
  <si>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</si>
  <si>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</si>
  <si>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</si>
  <si>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</si>
  <si>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</si>
  <si>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</si>
  <si>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</si>
  <si>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</si>
  <si>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</si>
  <si>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</si>
  <si>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</si>
  <si>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</si>
  <si>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</si>
  <si>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</si>
  <si>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</si>
  <si>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</si>
  <si>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</si>
  <si>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</si>
  <si>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</si>
  <si>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</si>
  <si>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</si>
  <si>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</si>
  <si>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</si>
  <si>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</si>
  <si>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</si>
  <si>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</si>
  <si>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</si>
  <si>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</si>
  <si>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</si>
  <si>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</si>
  <si>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</si>
  <si>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</si>
  <si>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</si>
  <si>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</si>
  <si>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</si>
  <si>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</si>
  <si>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</si>
  <si>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</si>
  <si>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</si>
  <si>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</si>
  <si>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</si>
  <si>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</si>
  <si>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</si>
  <si>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</si>
  <si>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</si>
  <si>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</si>
  <si>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</si>
  <si>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</si>
  <si>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</si>
  <si>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</si>
  <si>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</si>
  <si>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</si>
  <si>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</si>
  <si>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</si>
  <si>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</si>
  <si>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</si>
  <si>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</si>
  <si>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</si>
  <si>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</si>
  <si>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</si>
  <si>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</si>
  <si>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</si>
  <si>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</si>
  <si>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</si>
  <si>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</si>
  <si>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</si>
  <si>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</si>
  <si>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</si>
  <si>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</si>
  <si>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</si>
  <si>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</si>
  <si>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</si>
  <si>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</si>
  <si>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</si>
  <si>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</si>
  <si>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</si>
  <si>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</si>
  <si>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</si>
  <si>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</si>
  <si>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</si>
  <si>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</si>
  <si>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</si>
  <si>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</si>
  <si>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</si>
  <si>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</si>
  <si>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</si>
  <si>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</si>
  <si>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</si>
  <si>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</si>
  <si>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</si>
  <si>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</si>
  <si>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</si>
  <si>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</si>
  <si>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</si>
  <si>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</si>
  <si>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</si>
  <si>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</si>
  <si>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</si>
  <si>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</si>
  <si>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</si>
  <si>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</si>
  <si>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</si>
  <si>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</si>
  <si>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</si>
  <si>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</si>
  <si>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</si>
  <si>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</si>
  <si>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</si>
  <si>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</si>
  <si>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</si>
  <si>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</si>
  <si>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</si>
  <si>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</si>
  <si>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</si>
  <si>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</si>
  <si>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</si>
  <si>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</si>
  <si>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</si>
  <si>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</si>
  <si>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</si>
  <si>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</si>
  <si>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</si>
  <si>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</si>
  <si>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</si>
  <si>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</si>
  <si>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</si>
  <si>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</si>
  <si>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</si>
  <si>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</si>
  <si>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</si>
  <si>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</si>
  <si>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</si>
  <si>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</si>
  <si>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</si>
  <si>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</si>
  <si>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</si>
  <si>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</si>
  <si>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</si>
  <si>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</si>
  <si>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</si>
  <si>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</si>
  <si>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</si>
  <si>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</si>
  <si>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</si>
  <si>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</si>
  <si>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</si>
  <si>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</si>
  <si>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</si>
  <si>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</si>
  <si>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</si>
  <si>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</si>
  <si>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</si>
  <si>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</si>
  <si>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</si>
  <si>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</si>
  <si>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</si>
  <si>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</si>
  <si>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</si>
  <si>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</si>
  <si>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</si>
  <si>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</si>
  <si>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</si>
  <si>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</si>
  <si>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</si>
  <si>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</si>
  <si>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</si>
  <si>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</si>
  <si>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</si>
  <si>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</si>
  <si>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</si>
  <si>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</si>
  <si>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</si>
  <si>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</si>
  <si>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</si>
  <si>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</si>
  <si>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</si>
  <si>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</si>
  <si>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</si>
  <si>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</si>
  <si>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</si>
  <si>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</si>
  <si>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</si>
  <si>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</si>
  <si>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</si>
  <si>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</si>
  <si>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</si>
  <si>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</si>
  <si>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</si>
  <si>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</si>
  <si>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</si>
  <si>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</si>
  <si>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</si>
  <si>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</si>
  <si>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</si>
  <si>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</si>
  <si>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</si>
  <si>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</si>
  <si>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</si>
  <si>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</si>
  <si>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</si>
  <si>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</si>
  <si>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</si>
  <si>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</si>
  <si>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</si>
  <si>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</si>
  <si>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</si>
  <si>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</si>
  <si>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</si>
  <si>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</si>
  <si>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</si>
  <si>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</si>
  <si>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</si>
  <si>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</si>
  <si>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</si>
  <si>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</si>
  <si>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</si>
  <si>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</si>
  <si>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</si>
  <si>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</si>
  <si>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</si>
  <si>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</si>
  <si>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</si>
  <si>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</si>
  <si>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</si>
  <si>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</si>
  <si>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</si>
  <si>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</si>
  <si>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</si>
  <si>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</si>
  <si>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</si>
  <si>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</si>
  <si>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</si>
  <si>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</si>
  <si>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</si>
  <si>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</si>
  <si>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</si>
  <si>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</si>
  <si>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</si>
  <si>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</si>
  <si>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</si>
  <si>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</si>
  <si>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</si>
  <si>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</si>
  <si>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</si>
  <si>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</si>
  <si>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</si>
  <si>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</si>
  <si>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</si>
  <si>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</si>
  <si>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</si>
  <si>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</si>
  <si>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</si>
  <si>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</si>
  <si>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</si>
  <si>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</si>
  <si>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</si>
  <si>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</si>
  <si>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</si>
  <si>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</si>
  <si>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</si>
  <si>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</si>
  <si>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</si>
  <si>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</si>
  <si>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</si>
  <si>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</si>
  <si>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</si>
  <si>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</si>
  <si>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</si>
  <si>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</si>
  <si>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</si>
  <si>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</si>
  <si>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</si>
  <si>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</si>
  <si>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</si>
  <si>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</si>
  <si>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</si>
  <si>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</si>
  <si>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</si>
  <si>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</si>
  <si>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</si>
  <si>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</si>
  <si>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</si>
  <si>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</si>
  <si>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</si>
  <si>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</si>
  <si>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</si>
  <si>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</si>
  <si>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</si>
  <si>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</si>
  <si>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</si>
  <si>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</si>
  <si>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</si>
  <si>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</si>
  <si>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</si>
  <si>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</si>
  <si>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</si>
  <si>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</si>
  <si>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</si>
  <si>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</si>
  <si>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</si>
  <si>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</si>
  <si>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</si>
  <si>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</si>
  <si>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</si>
  <si>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</si>
  <si>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</si>
  <si>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</si>
  <si>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</si>
  <si>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</si>
  <si>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</si>
  <si>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</si>
  <si>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</si>
  <si>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</si>
  <si>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</si>
  <si>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</si>
  <si>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</si>
  <si>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</si>
  <si>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</si>
  <si>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</si>
  <si>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</si>
  <si>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</si>
  <si>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</si>
  <si>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</si>
  <si>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</si>
  <si>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</si>
  <si>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</si>
  <si>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</si>
  <si>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</si>
  <si>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</si>
  <si>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</si>
  <si>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</si>
  <si>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</si>
  <si>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</si>
  <si>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</si>
  <si>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</si>
  <si>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</si>
  <si>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</si>
  <si>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</si>
  <si>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</si>
  <si>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</si>
  <si>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</si>
  <si>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</si>
  <si>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</si>
  <si>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</si>
  <si>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</si>
  <si>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</si>
  <si>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</si>
  <si>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</si>
  <si>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</si>
  <si>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</si>
  <si>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</si>
  <si>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</si>
  <si>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</si>
  <si>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</si>
  <si>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</si>
  <si>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</si>
  <si>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</si>
  <si>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</si>
  <si>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</si>
  <si>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</si>
  <si>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</si>
  <si>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</si>
  <si>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</si>
  <si>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</si>
  <si>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</si>
  <si>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</si>
  <si>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</si>
  <si>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</si>
  <si>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</si>
  <si>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</si>
  <si>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</si>
  <si>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</si>
  <si>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</si>
  <si>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</si>
  <si>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</si>
  <si>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</si>
  <si>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</si>
  <si>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</si>
  <si>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</si>
  <si>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</si>
  <si>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</si>
  <si>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</si>
  <si>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</si>
  <si>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</si>
  <si>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</si>
  <si>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</si>
  <si>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</si>
  <si>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</si>
  <si>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</si>
  <si>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</si>
  <si>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</si>
  <si>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</si>
  <si>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</si>
  <si>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</si>
  <si>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</si>
  <si>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</si>
  <si>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</si>
  <si>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</si>
  <si>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</si>
  <si>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</si>
  <si>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</si>
  <si>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</si>
  <si>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</si>
  <si>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</si>
  <si>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</si>
  <si>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</si>
  <si>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</si>
  <si>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</si>
  <si>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</si>
  <si>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</si>
  <si>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</si>
  <si>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</si>
  <si>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</si>
  <si>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</si>
  <si>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</si>
  <si>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</si>
  <si>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</si>
  <si>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</si>
  <si>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</si>
  <si>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</si>
  <si>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</si>
  <si>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</si>
  <si>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</si>
  <si>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</si>
  <si>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</si>
  <si>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</si>
  <si>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</si>
  <si>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</si>
  <si>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</si>
  <si>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</si>
  <si>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</si>
  <si>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</si>
  <si>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</si>
  <si>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</si>
  <si>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</si>
  <si>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</si>
  <si>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</si>
  <si>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</si>
  <si>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</si>
  <si>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</si>
  <si>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</si>
  <si>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</si>
  <si>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</si>
  <si>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</si>
  <si>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</si>
  <si>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</si>
  <si>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</si>
  <si>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</si>
  <si>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</si>
  <si>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</si>
  <si>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</si>
  <si>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</si>
  <si>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</si>
  <si>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</si>
  <si>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</si>
  <si>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</si>
  <si>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</si>
  <si>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</si>
  <si>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</si>
  <si>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</si>
  <si>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</si>
  <si>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</si>
  <si>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</si>
  <si>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</si>
  <si>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</si>
  <si>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</si>
  <si>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</si>
  <si>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</si>
  <si>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</si>
  <si>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</si>
  <si>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</si>
  <si>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</si>
  <si>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</si>
  <si>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</si>
  <si>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</si>
  <si>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</si>
  <si>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</si>
  <si>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</si>
  <si>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</si>
  <si>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</si>
  <si>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</si>
  <si>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</si>
  <si>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</si>
  <si>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</si>
  <si>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</si>
  <si>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</si>
  <si>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</si>
  <si>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</si>
  <si>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</si>
  <si>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</si>
  <si>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</si>
  <si>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</si>
  <si>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</si>
  <si>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</si>
  <si>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</si>
  <si>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</si>
  <si>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</si>
  <si>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</si>
  <si>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</si>
  <si>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</si>
  <si>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</si>
  <si>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</si>
  <si>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</si>
  <si>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</si>
  <si>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</si>
  <si>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</si>
  <si>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</si>
  <si>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</si>
  <si>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</si>
  <si>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</si>
  <si>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</si>
  <si>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</si>
  <si>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</si>
  <si>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</si>
  <si>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</si>
  <si>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</si>
  <si>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</si>
  <si>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</si>
  <si>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</si>
  <si>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</si>
  <si>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</si>
  <si>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</si>
  <si>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</si>
  <si>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</si>
  <si>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</si>
  <si>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</si>
  <si>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</si>
  <si>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</si>
  <si>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</si>
  <si>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</si>
  <si>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</si>
  <si>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</si>
  <si>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</si>
  <si>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</si>
  <si>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</si>
  <si>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</si>
  <si>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</si>
  <si>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</si>
  <si>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</si>
  <si>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</si>
  <si>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</si>
  <si>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</si>
  <si>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</si>
  <si>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</si>
  <si>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</si>
  <si>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</si>
  <si>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</si>
  <si>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</si>
  <si>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</si>
  <si>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</si>
  <si>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</si>
  <si>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</si>
  <si>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</si>
  <si>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</si>
  <si>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</si>
  <si>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</si>
  <si>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</si>
  <si>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</si>
  <si>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</si>
  <si>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</si>
  <si>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</si>
  <si>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</si>
  <si>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</si>
  <si>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</si>
  <si>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</si>
  <si>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</si>
  <si>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</si>
  <si>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</si>
  <si>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</si>
  <si>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</si>
  <si>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</si>
  <si>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</si>
  <si>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</si>
  <si>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</si>
  <si>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</si>
  <si>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</si>
  <si>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</si>
  <si>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</si>
  <si>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</si>
  <si>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</si>
  <si>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</si>
  <si>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</si>
  <si>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</si>
  <si>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</si>
  <si>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</si>
  <si>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</si>
  <si>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</si>
  <si>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</si>
  <si>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</si>
  <si>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</si>
  <si>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</si>
  <si>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</si>
  <si>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</si>
  <si>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</si>
  <si>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</si>
  <si>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</si>
  <si>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</si>
  <si>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</si>
  <si>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</si>
  <si>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</si>
  <si>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</si>
  <si>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</si>
  <si>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</si>
  <si>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</si>
  <si>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</si>
  <si>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</si>
  <si>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</si>
  <si>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</si>
  <si>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</si>
  <si>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</si>
  <si>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</si>
  <si>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</si>
  <si>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</si>
  <si>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</si>
  <si>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</si>
  <si>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</si>
  <si>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</si>
  <si>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</si>
  <si>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</si>
  <si>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</si>
  <si>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</si>
  <si>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</si>
  <si>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</si>
  <si>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</si>
  <si>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</si>
  <si>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</si>
  <si>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</si>
  <si>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</si>
  <si>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</si>
  <si>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</si>
  <si>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</si>
  <si>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</si>
  <si>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</si>
  <si>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</si>
  <si>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</si>
  <si>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</si>
  <si>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</si>
  <si>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</si>
  <si>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</si>
  <si>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</si>
  <si>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</si>
  <si>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</si>
  <si>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</si>
  <si>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</si>
  <si>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</si>
  <si>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</si>
  <si>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</si>
  <si>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</si>
  <si>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</si>
  <si>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</si>
  <si>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</si>
  <si>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</si>
  <si>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</si>
  <si>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</si>
  <si>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</si>
  <si>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</si>
  <si>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</si>
  <si>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</si>
  <si>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</si>
  <si>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</si>
  <si>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</si>
  <si>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</si>
  <si>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</si>
  <si>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</si>
  <si>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</si>
  <si>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</si>
  <si>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</si>
  <si>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</si>
  <si>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</si>
  <si>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</si>
  <si>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</si>
  <si>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</si>
  <si>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</si>
  <si>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</si>
  <si>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</si>
  <si>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</si>
  <si>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</si>
  <si>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</si>
  <si>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</si>
  <si>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</si>
  <si>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</si>
  <si>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</si>
  <si>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</si>
  <si>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</si>
  <si>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</si>
  <si>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</si>
  <si>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</si>
  <si>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</si>
  <si>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</si>
  <si>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</si>
  <si>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</si>
  <si>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</si>
  <si>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</si>
  <si>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</si>
  <si>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</si>
  <si>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</si>
  <si>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</si>
  <si>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</si>
  <si>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</si>
  <si>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</si>
  <si>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</si>
  <si>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</si>
  <si>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</si>
  <si>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</si>
  <si>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</si>
  <si>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</si>
  <si>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</si>
  <si>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</si>
  <si>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</si>
  <si>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</si>
  <si>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</si>
  <si>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</si>
  <si>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</si>
  <si>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</si>
  <si>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</si>
  <si>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</si>
  <si>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</si>
  <si>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</si>
  <si>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</si>
  <si>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</si>
  <si>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</si>
  <si>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</si>
  <si>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</si>
  <si>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</si>
  <si>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</si>
  <si>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</si>
  <si>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</si>
  <si>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</si>
  <si>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</si>
  <si>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</si>
  <si>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</si>
  <si>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</si>
  <si>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</si>
  <si>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</si>
  <si>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</si>
  <si>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</si>
  <si>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</si>
  <si>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</si>
  <si>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</si>
  <si>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</si>
  <si>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</si>
  <si>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</si>
  <si>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</si>
  <si>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</si>
  <si>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</si>
  <si>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</si>
  <si>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</si>
  <si>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</si>
  <si>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</si>
  <si>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</si>
  <si>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</si>
  <si>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</si>
  <si>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</si>
  <si>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</si>
  <si>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</si>
  <si>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</si>
  <si>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</si>
  <si>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</si>
  <si>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</si>
  <si>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</si>
  <si>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</si>
  <si>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</si>
  <si>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</si>
  <si>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</si>
  <si>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</si>
  <si>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</si>
  <si>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</si>
  <si>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</si>
  <si>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</si>
  <si>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</si>
  <si>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</si>
  <si>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</si>
  <si>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</si>
  <si>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</si>
  <si>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</si>
  <si>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</si>
  <si>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</si>
  <si>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</si>
  <si>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</si>
  <si>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</si>
  <si>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</si>
  <si>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</si>
  <si>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</si>
  <si>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</si>
  <si>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</si>
  <si>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</si>
  <si>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</si>
  <si>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</si>
  <si>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</si>
  <si>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</si>
  <si>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</si>
  <si>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</si>
  <si>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</si>
  <si>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</si>
  <si>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</si>
  <si>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</si>
  <si>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</si>
  <si>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</si>
  <si>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</si>
  <si>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</si>
  <si>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</si>
  <si>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</si>
  <si>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</si>
  <si>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</si>
  <si>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</si>
  <si>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</si>
  <si>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</si>
  <si>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</si>
  <si>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</si>
  <si>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</si>
  <si>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</si>
  <si>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</si>
  <si>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</si>
  <si>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</si>
  <si>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</si>
  <si>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</si>
  <si>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</si>
  <si>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</si>
  <si>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</si>
  <si>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</si>
  <si>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</si>
  <si>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</si>
  <si>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</si>
  <si>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</si>
  <si>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</si>
  <si>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</si>
  <si>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</si>
  <si>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</si>
  <si>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</si>
  <si>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</si>
  <si>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</si>
  <si>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</si>
  <si>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</si>
  <si>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</si>
  <si>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</si>
  <si>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</si>
  <si>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</si>
  <si>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</si>
  <si>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</si>
  <si>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</si>
  <si>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</si>
  <si>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</si>
  <si>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</si>
  <si>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</si>
  <si>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</si>
  <si>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</si>
  <si>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</si>
  <si>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</si>
  <si>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</si>
  <si>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</si>
  <si>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</si>
  <si>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</si>
  <si>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</si>
  <si>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</si>
  <si>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</si>
  <si>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</si>
  <si>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</si>
  <si>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</si>
  <si>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</si>
  <si>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</si>
  <si>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</si>
  <si>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</si>
  <si>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</si>
  <si>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</si>
  <si>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</si>
  <si>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</si>
  <si>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</si>
  <si>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</si>
  <si>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</si>
  <si>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</si>
  <si>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</si>
  <si>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</si>
  <si>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</si>
  <si>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</si>
  <si>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</si>
  <si>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</si>
  <si>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</si>
  <si>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</si>
  <si>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</si>
  <si>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</si>
  <si>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</si>
  <si>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</si>
  <si>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</si>
  <si>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</si>
  <si>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</si>
  <si>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</si>
  <si>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</si>
  <si>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</si>
  <si>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</si>
  <si>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</si>
  <si>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</si>
  <si>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</si>
  <si>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</si>
  <si>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</si>
  <si>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</si>
  <si>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</si>
  <si>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</si>
  <si>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</si>
  <si>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</si>
  <si>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</si>
  <si>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</si>
  <si>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</si>
  <si>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</si>
  <si>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</si>
  <si>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</si>
  <si>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</si>
  <si>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</si>
  <si>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</si>
  <si>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</si>
  <si>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</si>
  <si>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</si>
  <si>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</si>
  <si>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</si>
  <si>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</si>
  <si>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</si>
  <si>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</si>
  <si>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</si>
  <si>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</si>
  <si>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</si>
  <si>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</si>
  <si>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</si>
  <si>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</si>
  <si>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</si>
  <si>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</si>
  <si>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</si>
  <si>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</si>
  <si>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</si>
  <si>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</si>
  <si>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</si>
  <si>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</si>
  <si>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</si>
  <si>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</si>
  <si>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</si>
  <si>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</si>
  <si>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</si>
  <si>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</si>
  <si>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</si>
  <si>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</si>
  <si>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</si>
  <si>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</si>
  <si>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</si>
  <si>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</si>
  <si>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</si>
  <si>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</si>
  <si>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</si>
  <si>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</si>
  <si>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</si>
  <si>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</si>
  <si>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</si>
  <si>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</si>
  <si>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</si>
  <si>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</si>
  <si>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</si>
  <si>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</si>
  <si>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</si>
  <si>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</si>
  <si>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</si>
  <si>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</si>
  <si>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</si>
  <si>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</si>
  <si>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</si>
  <si>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</si>
  <si>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</si>
  <si>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</si>
  <si>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</si>
  <si>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</si>
  <si>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</si>
  <si>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</si>
  <si>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</si>
  <si>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</si>
  <si>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</si>
  <si>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</si>
  <si>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</si>
  <si>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</si>
  <si>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</si>
  <si>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</si>
  <si>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</si>
  <si>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</si>
  <si>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</si>
  <si>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</si>
  <si>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</si>
  <si>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</si>
  <si>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</si>
  <si>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</si>
  <si>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</si>
  <si>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</si>
  <si>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</si>
  <si>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</si>
  <si>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</si>
  <si>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</si>
  <si>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</si>
  <si>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</si>
  <si>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</si>
  <si>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</si>
  <si>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</si>
  <si>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</si>
  <si>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</si>
  <si>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</si>
  <si>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</si>
  <si>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</si>
  <si>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</si>
  <si>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</si>
  <si>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</si>
  <si>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</si>
  <si>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</si>
  <si>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</si>
  <si>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</si>
  <si>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</si>
  <si>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</si>
  <si>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</si>
  <si>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</si>
  <si>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</si>
  <si>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</si>
  <si>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</si>
  <si>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</si>
  <si>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</si>
  <si>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</si>
  <si>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</si>
  <si>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</si>
  <si>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</si>
  <si>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</si>
  <si>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</si>
  <si>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</si>
  <si>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</si>
  <si>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</si>
  <si>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</si>
  <si>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</si>
  <si>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</si>
  <si>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</si>
  <si>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</si>
  <si>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</si>
  <si>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</si>
  <si>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</si>
  <si>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</si>
  <si>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</si>
  <si>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</si>
  <si>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</si>
  <si>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</si>
  <si>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</si>
  <si>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</si>
  <si>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</si>
  <si>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</si>
  <si>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</si>
  <si>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</si>
  <si>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</si>
  <si>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</si>
  <si>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</si>
  <si>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</si>
  <si>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</si>
  <si>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</si>
  <si>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</si>
  <si>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</si>
  <si>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</si>
  <si>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</si>
  <si>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</si>
  <si>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</si>
  <si>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</si>
  <si>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</si>
  <si>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</si>
  <si>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</si>
  <si>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</si>
  <si>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</si>
  <si>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</si>
  <si>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</si>
  <si>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</si>
  <si>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</si>
  <si>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</si>
  <si>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</si>
  <si>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</si>
  <si>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</si>
  <si>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</si>
  <si>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</si>
  <si>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</si>
  <si>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</si>
  <si>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</si>
  <si>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</si>
  <si>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</si>
  <si>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</si>
  <si>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</si>
  <si>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</si>
  <si>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</si>
  <si>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</si>
  <si>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</si>
  <si>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</si>
  <si>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</si>
  <si>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</si>
  <si>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</si>
  <si>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</si>
  <si>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</si>
  <si>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</si>
  <si>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</si>
  <si>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</si>
  <si>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</si>
  <si>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</si>
  <si>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</si>
  <si>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</si>
  <si>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</si>
  <si>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</si>
  <si>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</si>
  <si>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</si>
  <si>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</si>
  <si>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</si>
  <si>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</si>
  <si>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</si>
  <si>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</si>
  <si>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</si>
  <si>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</si>
  <si>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</si>
  <si>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</si>
  <si>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</si>
  <si>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</si>
  <si>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</si>
  <si>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</si>
  <si>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</si>
  <si>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</si>
  <si>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</si>
  <si>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</si>
  <si>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</si>
  <si>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</si>
  <si>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</si>
  <si>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</si>
  <si>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</si>
  <si>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</si>
  <si>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</si>
  <si>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</si>
  <si>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</si>
  <si>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</si>
  <si>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</si>
  <si>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</si>
  <si>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</si>
  <si>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</si>
  <si>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</si>
  <si>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</si>
  <si>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</si>
  <si>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</si>
  <si>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</si>
  <si>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</si>
  <si>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</si>
  <si>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</si>
  <si>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</si>
  <si>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</si>
  <si>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</si>
  <si>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</si>
  <si>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</si>
  <si>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</si>
  <si>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</si>
  <si>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</si>
  <si>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</si>
  <si>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</si>
  <si>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</si>
  <si>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</si>
  <si>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</si>
  <si>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</si>
  <si>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</si>
  <si>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</si>
  <si>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</si>
  <si>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</si>
  <si>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</si>
  <si>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</si>
  <si>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</si>
  <si>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</si>
  <si>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</si>
  <si>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</si>
  <si>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</si>
  <si>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</si>
  <si>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</si>
  <si>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</si>
  <si>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</si>
  <si>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</si>
  <si>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</si>
  <si>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</si>
  <si>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</si>
  <si>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</si>
  <si>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</si>
  <si>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</si>
  <si>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</si>
  <si>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</si>
  <si>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</si>
  <si>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</si>
  <si>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</si>
  <si>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</si>
  <si>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</si>
  <si>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</si>
  <si>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</si>
  <si>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</si>
  <si>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</si>
  <si>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</si>
  <si>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</si>
  <si>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</si>
  <si>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</si>
  <si>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</si>
  <si>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</si>
  <si>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</si>
  <si>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</si>
  <si>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</si>
  <si>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</si>
  <si>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</si>
  <si>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</si>
  <si>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</si>
  <si>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</si>
  <si>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</si>
  <si>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</si>
  <si>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</si>
  <si>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</si>
  <si>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</si>
  <si>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</si>
  <si>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</si>
  <si>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</si>
  <si>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</si>
  <si>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</si>
  <si>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</si>
  <si>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</si>
  <si>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</si>
  <si>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</si>
  <si>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</si>
  <si>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</si>
  <si>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</si>
  <si>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</si>
  <si>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</si>
  <si>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</si>
  <si>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</si>
  <si>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</si>
  <si>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</si>
  <si>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</si>
  <si>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</si>
  <si>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</si>
  <si>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</si>
  <si>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</si>
  <si>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</si>
  <si>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</si>
  <si>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</si>
  <si>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</si>
  <si>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</si>
  <si>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</si>
  <si>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</si>
  <si>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</si>
  <si>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</si>
  <si>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</si>
  <si>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</si>
  <si>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</si>
  <si>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</si>
  <si>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</si>
  <si>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</si>
  <si>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</si>
  <si>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</si>
  <si>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</si>
  <si>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</si>
  <si>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</si>
  <si>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</si>
  <si>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</si>
  <si>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</si>
  <si>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</si>
  <si>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</si>
  <si>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</si>
  <si>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</si>
  <si>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</si>
  <si>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</si>
  <si>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</si>
  <si>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</si>
  <si>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</si>
  <si>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</si>
  <si>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</si>
  <si>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</si>
  <si>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</si>
  <si>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</si>
  <si>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</si>
  <si>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</si>
  <si>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</si>
  <si>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</si>
  <si>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</si>
  <si>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</si>
  <si>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</si>
  <si>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</si>
  <si>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</si>
  <si>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</si>
  <si>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</si>
  <si>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</si>
  <si>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</si>
  <si>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</si>
  <si>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</si>
  <si>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</si>
  <si>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</si>
  <si>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</si>
  <si>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</si>
  <si>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</si>
  <si>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</si>
  <si>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</si>
  <si>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</si>
  <si>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</si>
  <si>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</si>
  <si>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</si>
  <si>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</si>
  <si>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</si>
  <si>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</si>
  <si>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</si>
  <si>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</si>
  <si>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</si>
  <si>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</si>
  <si>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</si>
  <si>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</si>
  <si>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</si>
  <si>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</si>
  <si>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</si>
  <si>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</si>
  <si>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</si>
  <si>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</si>
  <si>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</si>
  <si>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</si>
  <si>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</si>
  <si>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</si>
  <si>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</si>
  <si>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</si>
  <si>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</si>
  <si>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</si>
  <si>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</si>
  <si>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</si>
  <si>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</si>
  <si>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</si>
  <si>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</si>
  <si>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</si>
  <si>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</si>
  <si>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</si>
  <si>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</si>
  <si>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</si>
  <si>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</si>
  <si>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</si>
  <si>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</si>
  <si>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</si>
  <si>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</si>
  <si>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</si>
  <si>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</si>
  <si>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</si>
  <si>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</si>
  <si>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</si>
  <si>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</si>
  <si>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</si>
  <si>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</si>
  <si>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</si>
  <si>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</si>
  <si>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</si>
  <si>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</si>
  <si>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</si>
  <si>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</si>
  <si>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</si>
  <si>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</si>
  <si>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</si>
  <si>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</si>
  <si>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</si>
  <si>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</si>
  <si>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</si>
  <si>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</si>
  <si>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</si>
  <si>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</si>
  <si>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</si>
  <si>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</si>
  <si>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</si>
  <si>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</si>
  <si>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</si>
  <si>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</si>
  <si>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</si>
  <si>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</si>
  <si>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</si>
  <si>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</si>
  <si>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</si>
  <si>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</si>
  <si>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</si>
  <si>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</si>
  <si>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</si>
  <si>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</si>
  <si>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</si>
  <si>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</si>
  <si>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</si>
  <si>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</si>
  <si>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</si>
  <si>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</si>
  <si>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</si>
  <si>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</si>
  <si>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</si>
  <si>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</si>
  <si>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</si>
  <si>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</si>
  <si>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</si>
  <si>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</si>
  <si>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</si>
  <si>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</si>
  <si>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</si>
  <si>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</si>
  <si>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</si>
  <si>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</si>
  <si>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</si>
  <si>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</si>
  <si>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</si>
  <si>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</si>
  <si>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</si>
  <si>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</si>
  <si>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</si>
  <si>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</si>
  <si>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</si>
  <si>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</si>
  <si>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</si>
  <si>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</si>
  <si>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</si>
  <si>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</si>
  <si>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</si>
  <si>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</si>
  <si>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</si>
  <si>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</si>
  <si>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</si>
  <si>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</si>
  <si>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</si>
  <si>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</si>
  <si>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</si>
  <si>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</si>
  <si>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</si>
  <si>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</si>
  <si>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</si>
  <si>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</si>
  <si>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</si>
  <si>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</si>
  <si>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</si>
  <si>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</si>
  <si>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</si>
  <si>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</si>
  <si>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</si>
  <si>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</si>
  <si>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</si>
  <si>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</si>
  <si>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</si>
  <si>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</si>
  <si>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</si>
  <si>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</si>
  <si>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</si>
  <si>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</si>
  <si>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</si>
  <si>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</si>
  <si>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</si>
  <si>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</si>
  <si>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</si>
  <si>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</si>
  <si>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</si>
  <si>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</si>
  <si>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</si>
  <si>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</si>
  <si>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</si>
  <si>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</si>
  <si>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</si>
  <si>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</si>
  <si>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</si>
  <si>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</si>
  <si>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</si>
  <si>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</si>
  <si>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</si>
  <si>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</si>
  <si>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</si>
  <si>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</si>
  <si>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</si>
  <si>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</si>
  <si>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</si>
  <si>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</si>
  <si>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</si>
  <si>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</si>
  <si>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</si>
  <si>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</si>
  <si>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</si>
  <si>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</si>
  <si>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</si>
  <si>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</si>
  <si>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</si>
  <si>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</si>
  <si>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</si>
  <si>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</si>
  <si>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</si>
  <si>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</si>
  <si>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</si>
  <si>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</si>
  <si>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</si>
  <si>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</si>
  <si>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</si>
  <si>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</si>
  <si>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</si>
  <si>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</si>
  <si>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</si>
  <si>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</si>
  <si>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</si>
  <si>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</si>
  <si>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</si>
  <si>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</si>
  <si>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</si>
  <si>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</si>
  <si>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</si>
  <si>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</si>
  <si>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</si>
  <si>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</si>
  <si>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</si>
  <si>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</si>
  <si>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</si>
  <si>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</si>
  <si>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</si>
  <si>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</si>
  <si>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</si>
  <si>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</si>
  <si>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</si>
  <si>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</si>
  <si>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</si>
  <si>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</si>
  <si>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</si>
  <si>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</si>
  <si>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</si>
  <si>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</si>
  <si>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</si>
  <si>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</si>
  <si>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</si>
  <si>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</si>
  <si>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</si>
  <si>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</si>
  <si>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</si>
  <si>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</si>
  <si>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</si>
  <si>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</si>
  <si>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</si>
  <si>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</si>
  <si>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</si>
  <si>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</si>
  <si>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</si>
  <si>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</si>
  <si>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</si>
  <si>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</si>
  <si>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</si>
  <si>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</si>
  <si>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</si>
  <si>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</si>
  <si>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</si>
  <si>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</si>
  <si>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</si>
  <si>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</si>
  <si>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</si>
  <si>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</si>
  <si>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</si>
  <si>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</si>
  <si>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</si>
  <si>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</si>
  <si>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</si>
  <si>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</si>
  <si>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</si>
  <si>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</si>
  <si>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</si>
  <si>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</si>
  <si>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</si>
  <si>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</si>
  <si>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</si>
  <si>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</si>
  <si>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</si>
  <si>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</si>
  <si>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</si>
  <si>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</si>
  <si>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</si>
  <si>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</si>
  <si>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</si>
  <si>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</si>
  <si>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</si>
  <si>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</si>
  <si>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</si>
  <si>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</si>
  <si>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</si>
  <si>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</si>
  <si>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</si>
  <si>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</si>
  <si>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</si>
  <si>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</si>
  <si>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</si>
  <si>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</si>
  <si>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</si>
  <si>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</si>
  <si>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</si>
  <si>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</si>
  <si>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</si>
  <si>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</si>
  <si>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</si>
  <si>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</si>
  <si>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</si>
  <si>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</si>
  <si>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</si>
  <si>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</si>
  <si>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</si>
  <si>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</si>
  <si>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</si>
  <si>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</si>
  <si>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</si>
  <si>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</si>
  <si>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</si>
  <si>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</si>
  <si>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</si>
  <si>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</si>
  <si>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</si>
  <si>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</si>
  <si>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</si>
  <si>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</si>
  <si>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</si>
  <si>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</si>
  <si>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</si>
  <si>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</si>
  <si>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</si>
  <si>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</si>
  <si>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</si>
  <si>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</si>
  <si>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</si>
  <si>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</si>
  <si>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</si>
  <si>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</si>
  <si>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</si>
  <si>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</si>
  <si>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</si>
  <si>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</si>
  <si>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</si>
  <si>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</si>
  <si>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</si>
  <si>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</si>
  <si>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</si>
  <si>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</si>
  <si>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</si>
  <si>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</si>
  <si>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</si>
  <si>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</si>
  <si>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</si>
  <si>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</si>
  <si>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</si>
  <si>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</si>
  <si>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</si>
  <si>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</si>
  <si>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</si>
  <si>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</si>
  <si>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</si>
  <si>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</si>
  <si>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</si>
  <si>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</si>
  <si>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</si>
  <si>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</si>
  <si>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</si>
  <si>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</si>
  <si>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</si>
  <si>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</si>
  <si>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</si>
  <si>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</si>
  <si>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</si>
  <si>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</si>
  <si>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</si>
  <si>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</si>
  <si>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</si>
  <si>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</si>
  <si>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</si>
  <si>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</si>
  <si>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</si>
  <si>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</si>
  <si>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</si>
  <si>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</si>
  <si>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</si>
  <si>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</si>
  <si>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</si>
  <si>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</si>
  <si>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</si>
  <si>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</si>
  <si>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</si>
  <si>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</si>
  <si>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</si>
  <si>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</si>
  <si>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</si>
  <si>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</si>
  <si>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</si>
  <si>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</si>
  <si>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</si>
  <si>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</si>
  <si>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</si>
  <si>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</si>
  <si>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</si>
  <si>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</si>
  <si>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</si>
  <si>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</si>
  <si>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</si>
  <si>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</si>
  <si>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</si>
  <si>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</si>
  <si>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</si>
  <si>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</si>
  <si>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</si>
  <si>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</si>
  <si>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</si>
  <si>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</si>
  <si>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</si>
  <si>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</si>
  <si>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</si>
  <si>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</si>
  <si>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</si>
  <si>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</si>
  <si>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</si>
  <si>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</si>
  <si>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</si>
  <si>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</si>
  <si>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</si>
  <si>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</si>
  <si>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</si>
  <si>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</si>
  <si>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</si>
  <si>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</si>
  <si>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</si>
  <si>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</si>
  <si>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</si>
  <si>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</si>
  <si>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</si>
  <si>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</si>
  <si>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</si>
  <si>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</si>
  <si>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</si>
  <si>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</si>
  <si>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</si>
  <si>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</si>
  <si>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</si>
  <si>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</si>
  <si>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</si>
  <si>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</si>
  <si>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</si>
  <si>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</si>
  <si>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</si>
  <si>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</si>
  <si>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</si>
  <si>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</si>
  <si>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</si>
  <si>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</si>
  <si>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</si>
  <si>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</si>
  <si>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</si>
  <si>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</si>
  <si>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</si>
  <si>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</si>
  <si>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</si>
  <si>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</si>
  <si>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</si>
  <si>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</si>
  <si>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</si>
  <si>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</si>
  <si>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</si>
  <si>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</si>
  <si>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</si>
  <si>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</si>
  <si>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</si>
  <si>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</si>
  <si>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</si>
  <si>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</si>
  <si>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</si>
  <si>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</si>
  <si>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</si>
  <si>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</si>
  <si>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</si>
  <si>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</si>
  <si>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</si>
  <si>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</si>
  <si>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</si>
  <si>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</si>
  <si>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</si>
  <si>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</si>
  <si>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</si>
  <si>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</si>
  <si>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</si>
  <si>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</si>
  <si>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</si>
  <si>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</si>
  <si>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</si>
  <si>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</si>
  <si>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</si>
  <si>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</si>
  <si>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</si>
  <si>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</si>
  <si>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</si>
  <si>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</si>
  <si>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</si>
  <si>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</si>
  <si>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</si>
  <si>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</si>
  <si>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</si>
  <si>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</si>
  <si>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</si>
  <si>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</si>
  <si>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</si>
  <si>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</si>
  <si>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</si>
  <si>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</si>
  <si>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</si>
  <si>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</si>
  <si>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</si>
  <si>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</si>
  <si>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</si>
  <si>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</si>
  <si>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</si>
  <si>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</si>
  <si>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</si>
  <si>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</si>
  <si>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</si>
  <si>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</si>
  <si>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</si>
  <si>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</si>
  <si>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</si>
  <si>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</si>
  <si>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</si>
  <si>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</si>
  <si>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</si>
  <si>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</si>
  <si>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</si>
  <si>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</si>
  <si>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</si>
  <si>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</si>
  <si>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</si>
  <si>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</si>
  <si>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</si>
  <si>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</si>
  <si>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</si>
  <si>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</si>
  <si>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</si>
  <si>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</si>
  <si>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</si>
  <si>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</si>
  <si>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</si>
  <si>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</si>
  <si>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</si>
  <si>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</si>
  <si>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</si>
  <si>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</si>
  <si>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</si>
  <si>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</si>
  <si>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</si>
  <si>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</si>
  <si>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</si>
  <si>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</si>
  <si>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</si>
  <si>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</si>
  <si>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</si>
  <si>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</si>
  <si>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</si>
  <si>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</si>
  <si>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</si>
  <si>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</si>
  <si>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</si>
  <si>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</si>
  <si>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</si>
  <si>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</si>
  <si>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</si>
  <si>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</si>
  <si>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</si>
  <si>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</si>
  <si>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</si>
  <si>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</si>
  <si>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</si>
  <si>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</si>
  <si>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</si>
  <si>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</si>
  <si>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</si>
  <si>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</si>
  <si>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</si>
  <si>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</si>
  <si>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</si>
  <si>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</si>
  <si>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</si>
  <si>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</si>
  <si>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</si>
  <si>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</si>
  <si>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</si>
  <si>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</si>
  <si>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</si>
  <si>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</si>
  <si>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</si>
  <si>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</si>
  <si>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</si>
  <si>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</si>
  <si>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</si>
  <si>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</si>
  <si>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</si>
  <si>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</si>
  <si>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</si>
  <si>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</si>
  <si>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</si>
  <si>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</si>
  <si>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</si>
  <si>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</si>
  <si>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</si>
  <si>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</si>
  <si>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</si>
  <si>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</si>
  <si>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</si>
  <si>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</si>
  <si>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</si>
  <si>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</si>
  <si>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</si>
  <si>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</si>
  <si>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</si>
  <si>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</si>
  <si>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</si>
  <si>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</si>
  <si>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</si>
  <si>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</si>
  <si>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</si>
  <si>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</si>
  <si>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</si>
  <si>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</si>
  <si>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</si>
  <si>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</si>
  <si>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</si>
  <si>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</si>
  <si>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</si>
  <si>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</si>
  <si>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</si>
  <si>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</si>
  <si>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</si>
  <si>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</si>
  <si>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</si>
  <si>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</si>
  <si>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</si>
  <si>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</si>
  <si>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</si>
  <si>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</si>
  <si>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</si>
  <si>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</si>
  <si>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</si>
  <si>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</si>
  <si>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</si>
  <si>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</si>
  <si>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</si>
  <si>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</si>
  <si>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</si>
  <si>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</si>
  <si>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</si>
  <si>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</si>
  <si>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</si>
  <si>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</si>
  <si>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</si>
  <si>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</si>
  <si>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</si>
  <si>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</si>
  <si>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</si>
  <si>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</si>
  <si>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</si>
  <si>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</si>
  <si>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</si>
  <si>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</si>
  <si>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</si>
  <si>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</si>
  <si>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</si>
  <si>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</si>
  <si>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</si>
  <si>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</si>
  <si>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</si>
  <si>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</si>
  <si>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</si>
  <si>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</si>
  <si>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</si>
  <si>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</si>
  <si>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</si>
  <si>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</si>
  <si>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</si>
  <si>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</si>
  <si>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</si>
  <si>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</si>
  <si>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</si>
  <si>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</si>
  <si>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</si>
  <si>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</si>
  <si>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</si>
  <si>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</si>
  <si>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</si>
  <si>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</si>
  <si>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</si>
  <si>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</si>
  <si>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</si>
  <si>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</si>
  <si>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</si>
  <si>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</si>
  <si>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</si>
  <si>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</si>
  <si>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</si>
  <si>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</si>
  <si>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</si>
  <si>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</si>
  <si>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</si>
  <si>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</si>
  <si>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</si>
  <si>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</si>
  <si>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</si>
  <si>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</si>
  <si>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</si>
  <si>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</si>
  <si>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</si>
  <si>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</si>
  <si>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</si>
  <si>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</si>
  <si>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</si>
  <si>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</si>
  <si>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</si>
  <si>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</si>
  <si>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</si>
  <si>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</si>
  <si>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</si>
  <si>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</si>
  <si>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</si>
  <si>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</si>
  <si>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</si>
  <si>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</si>
  <si>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</si>
  <si>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</si>
  <si>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</si>
  <si>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</si>
  <si>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</si>
  <si>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</si>
  <si>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</si>
  <si>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</si>
  <si>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</si>
  <si>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</si>
  <si>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</si>
  <si>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</si>
  <si>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</si>
  <si>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</si>
  <si>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</si>
  <si>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</si>
  <si>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</si>
  <si>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</si>
  <si>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</si>
  <si>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</si>
  <si>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</si>
  <si>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</si>
  <si>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</si>
  <si>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</si>
  <si>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</si>
  <si>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</si>
  <si>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</si>
  <si>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</si>
  <si>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</si>
  <si>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</si>
  <si>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</si>
  <si>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</si>
  <si>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</si>
  <si>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</si>
  <si>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</si>
  <si>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</si>
  <si>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</si>
  <si>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</si>
  <si>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</si>
  <si>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</si>
  <si>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</si>
  <si>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</si>
  <si>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</si>
  <si>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</si>
  <si>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</si>
  <si>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</si>
  <si>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</si>
  <si>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</si>
  <si>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</si>
  <si>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</si>
  <si>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</si>
  <si>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</si>
  <si>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</si>
  <si>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</si>
  <si>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</si>
  <si>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</si>
  <si>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</si>
  <si>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</si>
  <si>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</si>
  <si>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</si>
  <si>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</si>
  <si>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</si>
  <si>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</si>
  <si>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</si>
  <si>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</si>
  <si>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</si>
  <si>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</si>
  <si>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</si>
  <si>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</si>
  <si>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</si>
  <si>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</si>
  <si>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</si>
  <si>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</si>
  <si>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</si>
  <si>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</si>
  <si>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</si>
  <si>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</si>
  <si>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</si>
  <si>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</si>
  <si>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</si>
  <si>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</si>
  <si>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</si>
  <si>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</si>
  <si>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</si>
  <si>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</si>
  <si>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</si>
  <si>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</si>
  <si>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</si>
  <si>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</si>
  <si>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</si>
  <si>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</si>
  <si>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</si>
  <si>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</si>
  <si>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</si>
  <si>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</si>
  <si>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</si>
  <si>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</si>
  <si>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</si>
  <si>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</si>
  <si>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</si>
  <si>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</si>
  <si>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</si>
  <si>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</si>
  <si>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</si>
  <si>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</si>
  <si>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</si>
  <si>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</si>
  <si>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</si>
  <si>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</si>
  <si>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</si>
  <si>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</si>
  <si>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</si>
  <si>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</si>
  <si>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</si>
  <si>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</si>
  <si>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</si>
  <si>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</si>
  <si>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</si>
  <si>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</si>
  <si>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</si>
  <si>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</si>
  <si>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</si>
  <si>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</si>
  <si>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</si>
  <si>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</si>
  <si>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</si>
  <si>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</si>
  <si>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</si>
  <si>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</si>
  <si>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</si>
  <si>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</si>
  <si>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</si>
  <si>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</si>
  <si>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</si>
  <si>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</si>
  <si>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</si>
  <si>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</si>
  <si>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</si>
  <si>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</si>
  <si>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</si>
  <si>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</si>
  <si>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</si>
  <si>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</si>
  <si>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</si>
  <si>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</si>
  <si>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</si>
  <si>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</si>
  <si>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</si>
  <si>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</si>
  <si>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</si>
  <si>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</si>
  <si>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</si>
  <si>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</si>
  <si>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</si>
  <si>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</si>
  <si>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</si>
  <si>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</si>
  <si>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</si>
  <si>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</si>
  <si>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</si>
  <si>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</si>
  <si>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</si>
  <si>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</si>
  <si>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</si>
  <si>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</si>
  <si>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</si>
  <si>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</si>
  <si>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</si>
  <si>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</si>
  <si>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</si>
  <si>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</si>
  <si>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</si>
  <si>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</si>
  <si>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</si>
  <si>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</si>
  <si>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</si>
  <si>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</si>
  <si>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</si>
  <si>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</si>
  <si>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</si>
  <si>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</si>
  <si>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</si>
  <si>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</si>
  <si>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</si>
  <si>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</si>
  <si>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</si>
  <si>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</si>
  <si>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</si>
  <si>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</si>
  <si>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</si>
  <si>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</si>
  <si>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</si>
  <si>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</si>
  <si>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</si>
  <si>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</si>
  <si>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</si>
  <si>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</si>
  <si>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</si>
  <si>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</si>
  <si>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</si>
  <si>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</si>
  <si>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</si>
  <si>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</si>
  <si>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</si>
  <si>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</si>
  <si>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</si>
  <si>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</si>
  <si>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</si>
  <si>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</si>
  <si>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</si>
  <si>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</si>
  <si>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</si>
  <si>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</si>
  <si>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</si>
  <si>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</si>
  <si>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</si>
  <si>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</si>
  <si>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</si>
  <si>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</si>
  <si>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</si>
  <si>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</si>
  <si>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</si>
  <si>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</si>
  <si>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</si>
  <si>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</si>
  <si>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</si>
  <si>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</si>
  <si>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</si>
  <si>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</si>
  <si>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</si>
  <si>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</si>
  <si>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</si>
  <si>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</si>
  <si>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</si>
  <si>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</si>
  <si>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</si>
  <si>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</si>
  <si>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</si>
  <si>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</si>
  <si>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</si>
  <si>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</si>
  <si>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</si>
  <si>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</si>
  <si>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</si>
  <si>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</si>
  <si>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</si>
  <si>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</si>
  <si>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</si>
  <si>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</si>
  <si>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</si>
  <si>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</si>
  <si>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</si>
  <si>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</si>
  <si>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</si>
  <si>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</si>
  <si>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</si>
  <si>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</si>
  <si>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</si>
  <si>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</si>
  <si>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</si>
  <si>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</si>
  <si>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</si>
  <si>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</si>
  <si>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</si>
  <si>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</si>
  <si>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</si>
  <si>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</si>
  <si>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</si>
  <si>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</si>
  <si>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</si>
  <si>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</si>
  <si>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</si>
  <si>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</si>
  <si>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</si>
  <si>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</si>
  <si>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</si>
  <si>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</si>
  <si>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</si>
  <si>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</si>
  <si>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</si>
  <si>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</si>
  <si>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</si>
  <si>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</si>
  <si>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</si>
  <si>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</si>
  <si>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</si>
  <si>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</si>
  <si>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</si>
  <si>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</si>
  <si>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</si>
  <si>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</si>
  <si>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</si>
  <si>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</si>
  <si>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</si>
  <si>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</si>
  <si>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</si>
  <si>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</si>
  <si>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</si>
  <si>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</si>
  <si>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</si>
  <si>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</si>
  <si>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</si>
  <si>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</si>
  <si>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</si>
  <si>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</si>
  <si>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</si>
  <si>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</si>
  <si>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</si>
  <si>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</si>
  <si>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</si>
  <si>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</si>
  <si>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</si>
  <si>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</si>
  <si>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</si>
  <si>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</si>
  <si>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</si>
  <si>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</si>
  <si>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</si>
  <si>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</si>
  <si>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</si>
  <si>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</si>
  <si>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</si>
  <si>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</si>
  <si>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</si>
  <si>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</si>
  <si>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</si>
  <si>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</si>
  <si>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</si>
  <si>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</si>
  <si>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</si>
  <si>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</si>
  <si>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</si>
  <si>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</si>
  <si>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</si>
  <si>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</si>
  <si>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</si>
  <si>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</si>
  <si>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</si>
  <si>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</si>
  <si>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</si>
  <si>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</si>
  <si>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</si>
  <si>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</si>
  <si>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</si>
  <si>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</si>
  <si>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</si>
  <si>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</si>
  <si>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</si>
  <si>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</si>
  <si>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</si>
  <si>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</si>
  <si>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</si>
  <si>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</si>
  <si>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</si>
  <si>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</si>
  <si>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</si>
  <si>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</si>
  <si>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</si>
  <si>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</si>
  <si>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</si>
  <si>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</si>
  <si>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</si>
  <si>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</si>
  <si>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</si>
  <si>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</si>
  <si>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</si>
  <si>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</si>
  <si>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</si>
  <si>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</si>
  <si>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</si>
  <si>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</si>
  <si>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</si>
  <si>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</si>
  <si>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</si>
  <si>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</si>
  <si>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</si>
  <si>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</si>
  <si>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</si>
  <si>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</si>
  <si>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</si>
  <si>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</si>
  <si>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</si>
  <si>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</si>
  <si>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</si>
  <si>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</si>
  <si>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</si>
  <si>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</si>
  <si>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</si>
  <si>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</si>
  <si>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</si>
  <si>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</si>
  <si>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</si>
  <si>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</si>
  <si>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</si>
  <si>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</si>
  <si>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</si>
  <si>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</si>
  <si>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</si>
  <si>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</si>
  <si>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</si>
  <si>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</si>
  <si>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</si>
  <si>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</si>
  <si>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</si>
  <si>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</si>
  <si>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</si>
  <si>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</si>
  <si>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</si>
  <si>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</si>
  <si>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</si>
  <si>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</si>
  <si>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</si>
  <si>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</si>
  <si>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</si>
  <si>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</si>
  <si>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</si>
  <si>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</si>
  <si>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</si>
  <si>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</si>
  <si>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</si>
  <si>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</si>
  <si>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</si>
  <si>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</si>
  <si>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</si>
  <si>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</si>
  <si>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</si>
  <si>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</si>
  <si>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</si>
  <si>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</si>
  <si>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</si>
  <si>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</si>
  <si>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</si>
  <si>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</si>
  <si>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</si>
  <si>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</si>
  <si>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</si>
  <si>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</si>
  <si>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</si>
  <si>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</si>
  <si>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</si>
  <si>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</si>
  <si>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</si>
  <si>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</si>
  <si>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</si>
  <si>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</si>
  <si>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</si>
  <si>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</si>
  <si>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</si>
  <si>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</si>
  <si>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</si>
  <si>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</si>
  <si>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</si>
  <si>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</si>
  <si>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</si>
  <si>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</si>
  <si>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</si>
  <si>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</si>
  <si>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</si>
  <si>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</si>
  <si>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</si>
  <si>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</si>
  <si>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</si>
  <si>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</si>
  <si>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</si>
  <si>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</si>
  <si>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</si>
  <si>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</si>
  <si>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</si>
  <si>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</si>
  <si>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</si>
  <si>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</si>
  <si>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</si>
  <si>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</si>
  <si>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</si>
  <si>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</si>
  <si>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</si>
  <si>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</si>
  <si>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</si>
  <si>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</si>
  <si>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</si>
  <si>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</si>
  <si>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</si>
  <si>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</si>
  <si>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</si>
  <si>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</si>
  <si>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</si>
  <si>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</si>
  <si>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</si>
  <si>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</si>
  <si>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</si>
  <si>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</si>
  <si>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</si>
  <si>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</si>
  <si>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</si>
  <si>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</si>
  <si>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</si>
  <si>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</si>
  <si>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</si>
  <si>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</si>
  <si>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</si>
  <si>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</si>
  <si>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</si>
  <si>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</si>
  <si>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</si>
  <si>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</si>
  <si>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</si>
  <si>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</si>
  <si>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</si>
  <si>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</si>
  <si>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</si>
  <si>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</si>
  <si>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</si>
  <si>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</si>
  <si>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</si>
  <si>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</si>
  <si>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</si>
  <si>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</si>
  <si>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</si>
  <si>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</si>
  <si>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</si>
  <si>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</si>
  <si>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</si>
  <si>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</si>
  <si>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</si>
  <si>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</si>
  <si>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</si>
  <si>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</si>
  <si>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</si>
  <si>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</si>
  <si>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</si>
  <si>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</si>
  <si>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</si>
  <si>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</si>
  <si>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</si>
  <si>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</si>
  <si>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</si>
  <si>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</si>
  <si>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</si>
  <si>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</si>
  <si>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</si>
  <si>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</si>
  <si>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</si>
  <si>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</si>
  <si>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</si>
  <si>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</si>
  <si>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</si>
  <si>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</si>
  <si>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</si>
  <si>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</si>
  <si>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</si>
  <si>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</si>
  <si>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</si>
  <si>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</si>
  <si>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</si>
  <si>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</si>
  <si>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</si>
  <si>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</si>
  <si>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</si>
  <si>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</si>
  <si>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</si>
  <si>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</si>
  <si>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</si>
  <si>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</si>
  <si>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</si>
  <si>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</si>
  <si>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</si>
  <si>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</si>
  <si>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</si>
  <si>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</si>
  <si>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</si>
  <si>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</si>
  <si>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</si>
  <si>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</si>
  <si>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</si>
  <si>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</si>
  <si>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</si>
  <si>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</si>
  <si>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</si>
  <si>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</si>
  <si>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</si>
  <si>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</si>
  <si>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</si>
  <si>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</si>
  <si>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</si>
  <si>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</si>
  <si>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</si>
  <si>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</si>
  <si>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</si>
  <si>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</si>
  <si>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</si>
  <si>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</si>
  <si>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</si>
  <si>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</si>
  <si>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</si>
  <si>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</si>
  <si>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</si>
  <si>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</si>
  <si>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</si>
  <si>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</si>
  <si>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</si>
  <si>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</si>
  <si>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</si>
  <si>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</si>
  <si>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</si>
  <si>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</si>
  <si>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</si>
  <si>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</si>
  <si>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</si>
  <si>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</si>
  <si>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</si>
  <si>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</si>
  <si>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</si>
  <si>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</si>
  <si>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</si>
  <si>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</si>
  <si>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</si>
  <si>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</si>
  <si>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</si>
  <si>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</si>
  <si>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</si>
  <si>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</si>
  <si>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</si>
  <si>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</si>
  <si>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</si>
  <si>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</si>
  <si>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</si>
  <si>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</si>
  <si>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</si>
  <si>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</si>
  <si>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</si>
  <si>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</si>
  <si>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</si>
  <si>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</si>
  <si>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</si>
  <si>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</si>
  <si>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</si>
  <si>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</si>
  <si>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</si>
  <si>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</si>
  <si>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</si>
  <si>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</si>
  <si>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</si>
  <si>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</si>
  <si>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</si>
  <si>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</si>
  <si>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</si>
  <si>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</si>
  <si>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</si>
  <si>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</si>
  <si>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</si>
  <si>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</si>
  <si>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</si>
  <si>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</si>
  <si>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</si>
  <si>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</si>
  <si>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</si>
  <si>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</si>
  <si>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</si>
  <si>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</si>
  <si>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</si>
  <si>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</si>
  <si>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</si>
  <si>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</si>
  <si>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</si>
  <si>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</si>
  <si>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</si>
  <si>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</si>
  <si>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</si>
  <si>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</si>
  <si>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</si>
  <si>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</si>
  <si>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</si>
  <si>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</si>
  <si>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</si>
  <si>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</si>
  <si>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</si>
  <si>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</si>
  <si>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</si>
  <si>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</si>
  <si>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</si>
  <si>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</si>
  <si>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</si>
  <si>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</si>
  <si>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</si>
  <si>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</si>
  <si>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</si>
  <si>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</si>
  <si>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</si>
  <si>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</si>
  <si>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</si>
  <si>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</si>
  <si>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</si>
  <si>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</si>
  <si>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</si>
  <si>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</si>
  <si>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</si>
  <si>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</si>
  <si>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</si>
  <si>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</si>
  <si>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</si>
  <si>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</si>
  <si>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</si>
  <si>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</si>
  <si>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</si>
  <si>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</si>
  <si>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</si>
  <si>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</si>
  <si>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</si>
  <si>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</si>
  <si>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</si>
  <si>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</si>
  <si>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</si>
  <si>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</si>
  <si>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</si>
  <si>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</si>
  <si>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</si>
  <si>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</si>
  <si>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</si>
  <si>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</si>
  <si>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</si>
  <si>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</si>
  <si>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</si>
  <si>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</si>
  <si>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</si>
  <si>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</si>
  <si>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</si>
  <si>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</si>
  <si>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</si>
  <si>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</si>
  <si>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</si>
  <si>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</si>
  <si>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</si>
  <si>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</si>
  <si>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</si>
  <si>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</si>
  <si>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</si>
  <si>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</si>
  <si>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</si>
  <si>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</si>
  <si>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</si>
  <si>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</si>
  <si>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</si>
  <si>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</si>
  <si>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</si>
  <si>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</si>
  <si>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</si>
  <si>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</si>
  <si>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</si>
  <si>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</si>
  <si>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</si>
  <si>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</si>
  <si>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</si>
  <si>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</si>
  <si>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</si>
  <si>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</si>
  <si>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</si>
  <si>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</si>
  <si>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</si>
  <si>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</si>
  <si>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</si>
  <si>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</si>
  <si>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</si>
  <si>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</si>
  <si>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</si>
  <si>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</si>
  <si>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</si>
  <si>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</si>
  <si>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</si>
  <si>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</si>
  <si>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</si>
  <si>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</si>
  <si>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</si>
  <si>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</si>
  <si>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</si>
  <si>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</si>
  <si>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</si>
  <si>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</si>
  <si>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</si>
  <si>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</si>
  <si>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</si>
  <si>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</si>
  <si>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</si>
  <si>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</si>
  <si>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</si>
  <si>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</si>
  <si>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</si>
  <si>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</si>
  <si>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</si>
  <si>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</si>
  <si>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</si>
  <si>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</si>
  <si>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</si>
  <si>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</si>
  <si>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</si>
  <si>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</si>
  <si>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</si>
  <si>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</si>
  <si>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</si>
  <si>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</si>
  <si>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</si>
  <si>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</si>
  <si>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</si>
  <si>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</si>
  <si>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</si>
  <si>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</si>
  <si>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</si>
  <si>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</si>
  <si>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</si>
  <si>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</si>
  <si>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</si>
  <si>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</si>
  <si>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</si>
  <si>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</si>
  <si>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</si>
  <si>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</si>
  <si>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</si>
  <si>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</si>
  <si>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</si>
  <si>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</si>
  <si>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</si>
  <si>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</si>
  <si>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</si>
  <si>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</si>
  <si>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</si>
  <si>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</si>
  <si>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</si>
  <si>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</si>
  <si>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</si>
  <si>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</si>
  <si>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</si>
  <si>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</si>
  <si>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</si>
  <si>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</si>
  <si>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</si>
  <si>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</si>
  <si>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</si>
  <si>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</si>
  <si>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</si>
  <si>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</si>
  <si>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</si>
  <si>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</si>
  <si>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</si>
  <si>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</si>
  <si>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</si>
  <si>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</si>
  <si>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</si>
  <si>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</si>
  <si>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</si>
  <si>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</si>
  <si>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</si>
  <si>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</si>
  <si>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</si>
  <si>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</si>
  <si>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</si>
  <si>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</si>
  <si>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</si>
  <si>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</si>
  <si>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</si>
  <si>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</si>
  <si>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</si>
  <si>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</si>
  <si>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</si>
  <si>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</si>
  <si>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</si>
  <si>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</si>
  <si>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</si>
  <si>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</si>
  <si>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</si>
  <si>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</si>
  <si>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</si>
  <si>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</si>
  <si>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</si>
  <si>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</si>
  <si>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</si>
  <si>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</si>
  <si>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</si>
  <si>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</si>
  <si>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</si>
  <si>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</si>
  <si>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</si>
  <si>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</si>
  <si>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</si>
  <si>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</si>
  <si>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</si>
  <si>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</si>
  <si>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</si>
  <si>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</si>
  <si>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</si>
  <si>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</si>
  <si>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</si>
  <si>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</si>
  <si>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</si>
  <si>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</si>
  <si>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</si>
  <si>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</si>
  <si>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</si>
  <si>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</si>
  <si>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</si>
  <si>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</si>
  <si>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</si>
  <si>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</si>
  <si>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</si>
  <si>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</si>
  <si>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</si>
  <si>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</si>
  <si>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</si>
  <si>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</si>
  <si>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</si>
  <si>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</si>
  <si>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</si>
  <si>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</si>
  <si>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</si>
  <si>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</si>
  <si>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</si>
  <si>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</si>
  <si>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</si>
  <si>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</si>
  <si>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</si>
  <si>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</si>
  <si>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</si>
  <si>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</si>
  <si>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</si>
  <si>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</si>
  <si>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</si>
  <si>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</si>
  <si>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</si>
  <si>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</si>
  <si>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</si>
  <si>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</si>
  <si>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</si>
  <si>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</si>
  <si>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</si>
  <si>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</si>
  <si>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</si>
  <si>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</si>
  <si>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</si>
  <si>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</si>
  <si>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</si>
  <si>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</si>
  <si>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</si>
  <si>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</si>
  <si>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</si>
  <si>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</si>
  <si>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</si>
  <si>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</si>
  <si>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</si>
  <si>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</si>
  <si>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</si>
  <si>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</si>
  <si>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</si>
  <si>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</si>
  <si>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</si>
  <si>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</si>
  <si>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</si>
  <si>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</si>
  <si>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</si>
  <si>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</si>
  <si>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</si>
  <si>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</si>
  <si>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</si>
  <si>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</si>
  <si>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</si>
  <si>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</si>
  <si>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</si>
  <si>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</si>
  <si>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</si>
  <si>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</si>
  <si>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</si>
  <si>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</si>
  <si>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</si>
  <si>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</si>
  <si>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</si>
  <si>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</si>
  <si>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</si>
  <si>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</si>
  <si>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</si>
  <si>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</si>
  <si>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</si>
  <si>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</si>
  <si>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</si>
  <si>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</si>
  <si>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</si>
  <si>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</si>
  <si>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</si>
  <si>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</si>
  <si>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</si>
  <si>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</si>
  <si>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</si>
  <si>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</si>
  <si>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</si>
  <si>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</si>
  <si>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</si>
  <si>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</si>
  <si>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</si>
  <si>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</si>
  <si>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</si>
  <si>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</si>
  <si>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</si>
  <si>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</si>
  <si>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</si>
  <si>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</si>
  <si>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</si>
  <si>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</si>
  <si>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</si>
  <si>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</si>
  <si>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</si>
  <si>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</si>
  <si>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</si>
  <si>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</si>
  <si>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</si>
  <si>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</si>
  <si>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</si>
  <si>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</si>
  <si>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</si>
  <si>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</si>
  <si>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</si>
  <si>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</si>
  <si>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</si>
  <si>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</si>
  <si>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</si>
  <si>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</si>
  <si>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</si>
  <si>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</si>
  <si>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</si>
  <si>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</si>
  <si>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</si>
  <si>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</si>
  <si>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</si>
  <si>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</si>
  <si>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</si>
  <si>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</si>
  <si>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</si>
  <si>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</si>
  <si>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</si>
  <si>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</si>
  <si>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</si>
  <si>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</si>
  <si>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</si>
  <si>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</si>
  <si>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</si>
  <si>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</si>
  <si>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</si>
  <si>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</si>
  <si>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</si>
  <si>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</si>
  <si>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</si>
  <si>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</si>
  <si>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</si>
  <si>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</si>
  <si>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</si>
  <si>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</si>
  <si>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</si>
  <si>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</si>
  <si>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</si>
  <si>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</si>
  <si>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</si>
  <si>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</si>
  <si>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</si>
  <si>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</si>
  <si>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</si>
  <si>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</si>
  <si>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</si>
  <si>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</si>
  <si>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</si>
  <si>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</si>
  <si>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</si>
  <si>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</si>
  <si>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</si>
  <si>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</si>
  <si>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</si>
  <si>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</si>
  <si>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</si>
  <si>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</si>
  <si>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</si>
  <si>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</si>
  <si>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</si>
  <si>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</si>
  <si>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</si>
  <si>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</si>
  <si>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</si>
  <si>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</si>
  <si>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</si>
  <si>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</si>
  <si>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</si>
  <si>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</si>
  <si>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</si>
  <si>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</si>
  <si>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</si>
  <si>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</si>
  <si>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</si>
  <si>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</si>
  <si>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</si>
  <si>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</si>
  <si>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</si>
  <si>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</si>
  <si>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</si>
  <si>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</si>
  <si>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</si>
  <si>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</si>
  <si>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</si>
  <si>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</si>
  <si>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</si>
  <si>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</si>
  <si>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</si>
  <si>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</si>
  <si>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</si>
  <si>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</si>
  <si>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</si>
  <si>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</si>
  <si>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</si>
  <si>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</si>
  <si>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</si>
  <si>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</si>
  <si>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</si>
  <si>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</si>
  <si>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</si>
  <si>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</si>
  <si>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</si>
  <si>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</si>
  <si>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</si>
  <si>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</si>
  <si>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</si>
  <si>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</si>
  <si>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</si>
  <si>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</si>
  <si>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</si>
  <si>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</si>
  <si>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</si>
  <si>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</si>
  <si>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</si>
  <si>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</si>
  <si>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</si>
  <si>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</si>
  <si>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</si>
  <si>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</si>
  <si>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</si>
  <si>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</si>
  <si>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</si>
  <si>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</si>
  <si>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</si>
  <si>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</si>
  <si>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</si>
  <si>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</si>
  <si>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</si>
  <si>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</si>
  <si>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</si>
  <si>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</si>
  <si>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</si>
  <si>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</si>
  <si>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</si>
  <si>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</si>
  <si>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</si>
  <si>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</si>
  <si>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</si>
  <si>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</si>
  <si>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</si>
  <si>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</si>
  <si>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</si>
  <si>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</si>
  <si>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</si>
  <si>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</si>
  <si>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</si>
  <si>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</si>
  <si>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</si>
  <si>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</si>
  <si>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</si>
  <si>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</si>
  <si>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</si>
  <si>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</si>
  <si>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</si>
  <si>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</si>
  <si>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</si>
  <si>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</si>
  <si>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</si>
  <si>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</si>
  <si>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</si>
  <si>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</si>
  <si>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</si>
  <si>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</si>
  <si>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</si>
  <si>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</si>
  <si>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</si>
  <si>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</si>
  <si>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</si>
  <si>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</si>
  <si>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</si>
  <si>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</si>
  <si>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</si>
  <si>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</si>
  <si>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</si>
  <si>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</si>
  <si>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</si>
  <si>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</si>
  <si>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</si>
  <si>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</si>
  <si>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</si>
  <si>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</si>
  <si>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</si>
  <si>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</si>
  <si>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</si>
  <si>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</si>
  <si>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</si>
  <si>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</si>
  <si>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</si>
  <si>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</si>
  <si>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</si>
  <si>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</si>
  <si>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</si>
  <si>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</si>
  <si>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</si>
  <si>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</si>
  <si>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</si>
  <si>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</si>
  <si>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</si>
  <si>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</si>
  <si>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</si>
  <si>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</si>
  <si>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</si>
  <si>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</si>
  <si>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</si>
  <si>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</si>
  <si>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</si>
  <si>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</si>
  <si>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</si>
  <si>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</si>
  <si>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</si>
  <si>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</si>
  <si>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</si>
  <si>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</si>
  <si>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</si>
  <si>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</si>
  <si>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</si>
  <si>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</si>
  <si>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</si>
  <si>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</si>
  <si>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</si>
  <si>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</si>
  <si>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</si>
  <si>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</si>
  <si>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</si>
  <si>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</si>
  <si>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</si>
  <si>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</si>
  <si>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</si>
  <si>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</si>
  <si>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</si>
  <si>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</si>
  <si>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</si>
  <si>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</si>
  <si>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</si>
  <si>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</si>
  <si>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</si>
  <si>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</si>
  <si>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</si>
  <si>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</si>
  <si>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</si>
  <si>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</si>
  <si>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</si>
  <si>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</si>
  <si>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</si>
  <si>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</si>
  <si>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</si>
  <si>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</si>
  <si>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</si>
  <si>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</si>
  <si>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</si>
  <si>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</si>
  <si>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</si>
  <si>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</si>
  <si>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</si>
  <si>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</si>
  <si>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</si>
  <si>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</si>
  <si>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</si>
  <si>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</si>
  <si>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</si>
  <si>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</si>
  <si>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</si>
  <si>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</si>
  <si>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</si>
  <si>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</si>
  <si>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</si>
  <si>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</si>
  <si>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</si>
  <si>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</si>
  <si>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</si>
  <si>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</si>
  <si>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</si>
  <si>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</si>
  <si>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</si>
  <si>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</si>
  <si>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</si>
  <si>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</si>
  <si>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</si>
  <si>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</si>
  <si>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</si>
  <si>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</si>
  <si>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</si>
  <si>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</si>
  <si>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</si>
  <si>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</si>
  <si>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</si>
  <si>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</si>
  <si>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</si>
  <si>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</si>
  <si>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</si>
  <si>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</si>
  <si>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</si>
  <si>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</si>
  <si>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</si>
  <si>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</si>
  <si>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</si>
  <si>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</si>
  <si>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</si>
  <si>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</si>
  <si>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</si>
  <si>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</si>
  <si>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</si>
  <si>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</si>
  <si>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</si>
  <si>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</si>
  <si>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</si>
  <si>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</si>
  <si>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</si>
  <si>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</si>
  <si>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</si>
  <si>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</si>
  <si>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</si>
  <si>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</si>
  <si>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</si>
  <si>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</si>
  <si>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</si>
  <si>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</si>
  <si>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</si>
  <si>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</si>
  <si>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</si>
  <si>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</si>
  <si>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</si>
  <si>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</si>
  <si>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</si>
  <si>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</si>
  <si>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</si>
  <si>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</si>
  <si>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</si>
  <si>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</si>
  <si>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</si>
  <si>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</si>
  <si>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</si>
  <si>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</si>
  <si>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</si>
  <si>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</si>
  <si>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</si>
  <si>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</si>
  <si>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</si>
  <si>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</si>
  <si>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</si>
  <si>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</si>
  <si>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</si>
  <si>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</si>
  <si>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</si>
  <si>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</si>
  <si>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</si>
  <si>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</si>
  <si>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</si>
  <si>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</si>
  <si>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</si>
  <si>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</si>
  <si>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</si>
  <si>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</si>
  <si>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</si>
  <si>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</si>
  <si>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</si>
  <si>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</si>
  <si>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</si>
  <si>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</si>
  <si>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</si>
  <si>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</si>
  <si>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</si>
  <si>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</si>
  <si>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</si>
  <si>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</si>
  <si>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</si>
  <si>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</si>
  <si>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</si>
  <si>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</si>
  <si>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</si>
  <si>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</si>
  <si>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</si>
  <si>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</si>
  <si>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</si>
  <si>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</si>
  <si>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</si>
  <si>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</si>
  <si>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</si>
  <si>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</si>
  <si>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</si>
  <si>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</si>
  <si>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</si>
  <si>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</si>
  <si>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</si>
  <si>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</si>
  <si>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</si>
  <si>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</si>
  <si>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</si>
  <si>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</si>
  <si>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</si>
  <si>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</si>
  <si>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</si>
  <si>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</si>
  <si>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</si>
  <si>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</si>
  <si>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</si>
  <si>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</si>
  <si>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</si>
  <si>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</si>
  <si>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</si>
  <si>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</si>
  <si>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</si>
  <si>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</si>
  <si>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</si>
  <si>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</si>
  <si>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</si>
  <si>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</si>
  <si>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</si>
  <si>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</si>
  <si>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</si>
  <si>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</si>
  <si>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</si>
  <si>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</si>
  <si>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</si>
  <si>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</si>
  <si>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</si>
  <si>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</si>
  <si>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</si>
  <si>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</si>
  <si>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</si>
  <si>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</si>
  <si>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</si>
  <si>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</si>
  <si>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</si>
  <si>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</si>
  <si>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</si>
  <si>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</si>
  <si>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</si>
  <si>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</si>
  <si>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</si>
  <si>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</si>
  <si>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</si>
  <si>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</si>
  <si>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</si>
  <si>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</si>
  <si>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</si>
  <si>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</si>
  <si>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</si>
  <si>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</si>
  <si>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</si>
  <si>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</si>
  <si>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</si>
  <si>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</si>
  <si>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</si>
  <si>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</si>
  <si>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</si>
  <si>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</si>
  <si>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</si>
  <si>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</si>
  <si>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</si>
  <si>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</si>
  <si>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</si>
  <si>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</si>
  <si>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</si>
  <si>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</si>
  <si>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</si>
  <si>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</si>
  <si>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</si>
  <si>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</si>
  <si>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</si>
  <si>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</si>
  <si>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</si>
  <si>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</si>
  <si>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</si>
  <si>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</si>
  <si>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</si>
  <si>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</si>
  <si>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</si>
  <si>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</si>
  <si>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</si>
  <si>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</si>
  <si>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</si>
  <si>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</si>
  <si>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</si>
  <si>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</si>
  <si>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</si>
  <si>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</si>
  <si>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</si>
  <si>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</si>
  <si>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</si>
  <si>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</si>
  <si>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</si>
  <si>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</si>
  <si>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</si>
  <si>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</si>
  <si>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</si>
  <si>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</si>
  <si>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</si>
  <si>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</si>
  <si>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</si>
  <si>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</si>
  <si>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</si>
  <si>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</si>
  <si>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</si>
  <si>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</si>
  <si>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</si>
  <si>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</si>
  <si>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</si>
  <si>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</si>
  <si>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</si>
  <si>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</si>
  <si>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</si>
  <si>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</si>
  <si>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</si>
  <si>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</si>
  <si>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</si>
  <si>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</si>
  <si>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</si>
  <si>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</si>
  <si>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</si>
  <si>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</si>
  <si>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</si>
  <si>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</si>
  <si>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</si>
  <si>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</si>
  <si>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</si>
  <si>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</si>
  <si>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</si>
  <si>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</si>
  <si>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</si>
  <si>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</si>
  <si>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</si>
  <si>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</si>
  <si>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</si>
  <si>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</si>
  <si>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</si>
  <si>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</si>
  <si>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</si>
  <si>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</si>
  <si>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</si>
  <si>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</si>
  <si>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</si>
  <si>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</si>
  <si>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</si>
  <si>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</si>
  <si>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</si>
  <si>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</si>
  <si>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</si>
  <si>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</si>
  <si>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</si>
  <si>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</si>
  <si>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</si>
  <si>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</si>
  <si>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</si>
  <si>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</si>
  <si>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</si>
  <si>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</si>
  <si>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</si>
  <si>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</si>
  <si>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</si>
  <si>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</si>
  <si>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</si>
  <si>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</si>
  <si>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</si>
  <si>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</si>
  <si>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</si>
  <si>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</si>
  <si>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</si>
  <si>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</si>
  <si>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</si>
  <si>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</si>
  <si>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</si>
  <si>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</si>
  <si>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</si>
  <si>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</si>
  <si>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</si>
  <si>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</si>
  <si>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</si>
  <si>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</si>
  <si>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</si>
  <si>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</si>
  <si>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</si>
  <si>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</si>
  <si>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</si>
  <si>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</si>
  <si>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</si>
  <si>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</si>
  <si>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</si>
  <si>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</si>
  <si>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</si>
  <si>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</si>
  <si>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</si>
  <si>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</si>
  <si>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</si>
  <si>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</si>
  <si>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</si>
  <si>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</si>
  <si>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</si>
  <si>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</si>
  <si>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</si>
  <si>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</si>
  <si>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</si>
  <si>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</si>
  <si>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</si>
  <si>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</si>
  <si>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</si>
  <si>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</si>
  <si>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</si>
  <si>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</si>
  <si>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</si>
  <si>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</si>
  <si>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</si>
  <si>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</si>
  <si>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</si>
  <si>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</si>
  <si>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</si>
  <si>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</si>
  <si>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</si>
  <si>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</si>
  <si>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</si>
  <si>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</si>
  <si>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</si>
  <si>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</si>
  <si>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</si>
  <si>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</si>
  <si>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</si>
  <si>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</si>
  <si>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</si>
  <si>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</si>
  <si>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</si>
  <si>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</si>
  <si>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</si>
  <si>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</si>
  <si>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</si>
  <si>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</si>
  <si>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</si>
  <si>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</si>
  <si>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</si>
  <si>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</si>
  <si>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</si>
  <si>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</si>
  <si>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</si>
  <si>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</si>
  <si>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</si>
  <si>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</si>
  <si>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</si>
  <si>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</si>
  <si>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</si>
  <si>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</si>
  <si>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</si>
  <si>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</si>
  <si>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</si>
  <si>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</si>
  <si>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</si>
  <si>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</si>
  <si>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</si>
  <si>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</si>
  <si>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</si>
  <si>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</si>
  <si>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</si>
  <si>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</si>
  <si>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</si>
  <si>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</si>
  <si>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</si>
  <si>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</si>
  <si>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</si>
  <si>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</si>
  <si>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</si>
  <si>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</si>
  <si>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</si>
  <si>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</si>
  <si>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</si>
  <si>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</si>
  <si>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</si>
  <si>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</si>
  <si>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</si>
  <si>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</si>
  <si>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</si>
  <si>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</si>
  <si>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</si>
  <si>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</si>
  <si>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</si>
  <si>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</si>
  <si>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</si>
  <si>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</si>
  <si>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</si>
  <si>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</si>
  <si>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</si>
  <si>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</si>
  <si>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</si>
  <si>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</si>
  <si>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</si>
  <si>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</si>
  <si>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</si>
  <si>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</si>
  <si>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</si>
  <si>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</si>
  <si>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</si>
  <si>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</si>
  <si>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</si>
  <si>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</si>
  <si>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</si>
  <si>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</si>
  <si>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</si>
  <si>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</si>
  <si>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</si>
  <si>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</si>
  <si>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</si>
  <si>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</si>
  <si>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</si>
  <si>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</si>
  <si>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</si>
  <si>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</si>
  <si>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</si>
  <si>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</si>
  <si>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</si>
  <si>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</si>
  <si>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</si>
  <si>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</si>
  <si>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</si>
  <si>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</si>
  <si>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</si>
  <si>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</si>
  <si>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</si>
  <si>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</si>
  <si>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</si>
  <si>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</si>
  <si>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</si>
  <si>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</si>
  <si>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</si>
  <si>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</si>
  <si>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</si>
  <si>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</si>
  <si>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</si>
  <si>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</si>
  <si>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</si>
  <si>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</si>
  <si>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</si>
  <si>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</si>
  <si>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</si>
  <si>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</si>
  <si>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</si>
  <si>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</si>
  <si>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</si>
  <si>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</si>
  <si>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</si>
  <si>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</si>
  <si>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</si>
  <si>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</si>
  <si>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</si>
  <si>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</si>
  <si>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</si>
  <si>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</si>
  <si>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</si>
  <si>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</si>
  <si>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</si>
  <si>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</si>
  <si>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</si>
  <si>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</si>
  <si>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</si>
  <si>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</si>
  <si>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</si>
  <si>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</si>
  <si>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</si>
  <si>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</si>
  <si>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</si>
  <si>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</si>
  <si>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</si>
  <si>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</si>
  <si>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</si>
  <si>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</si>
  <si>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</si>
  <si>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</si>
  <si>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</si>
  <si>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</si>
  <si>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</si>
  <si>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</si>
  <si>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</si>
  <si>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</si>
  <si>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</si>
  <si>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</si>
  <si>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</si>
  <si>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</si>
  <si>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</si>
  <si>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</si>
  <si>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</si>
  <si>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</si>
  <si>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</si>
  <si>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</si>
  <si>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</si>
  <si>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</si>
  <si>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</si>
  <si>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</si>
  <si>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</si>
  <si>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</si>
  <si>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</si>
  <si>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</si>
  <si>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</si>
  <si>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</si>
  <si>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</si>
  <si>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</si>
  <si>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</si>
  <si>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</si>
  <si>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</si>
  <si>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</si>
  <si>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</si>
  <si>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</si>
  <si>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</si>
  <si>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</si>
  <si>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</si>
  <si>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</si>
  <si>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</si>
  <si>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</si>
  <si>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</si>
  <si>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</si>
  <si>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</si>
  <si>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</si>
  <si>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</si>
  <si>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</si>
  <si>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</si>
  <si>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</si>
  <si>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</si>
  <si>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</si>
  <si>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</si>
  <si>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</si>
  <si>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</si>
  <si>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</si>
  <si>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</si>
  <si>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</si>
  <si>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</si>
  <si>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</si>
  <si>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</si>
  <si>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</si>
  <si>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</si>
  <si>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</si>
  <si>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</si>
  <si>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</si>
  <si>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</si>
  <si>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</si>
  <si>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</si>
  <si>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</si>
  <si>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</si>
  <si>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</si>
  <si>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</si>
  <si>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</si>
  <si>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</si>
  <si>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</si>
  <si>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</si>
  <si>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</si>
  <si>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</si>
  <si>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</si>
  <si>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</si>
  <si>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</si>
  <si>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</si>
  <si>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</si>
  <si>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</si>
  <si>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</si>
  <si>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</si>
  <si>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</si>
  <si>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</si>
  <si>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</si>
  <si>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</si>
  <si>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</si>
  <si>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</si>
  <si>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</si>
  <si>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</si>
  <si>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</si>
  <si>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</si>
  <si>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</si>
  <si>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</si>
  <si>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</si>
  <si>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</si>
  <si>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</si>
  <si>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</si>
  <si>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</si>
  <si>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</si>
  <si>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</si>
  <si>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</si>
  <si>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</si>
  <si>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</si>
  <si>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</si>
  <si>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</si>
  <si>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</si>
  <si>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</si>
  <si>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</si>
  <si>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</si>
  <si>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</si>
  <si>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</si>
  <si>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</si>
  <si>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</si>
  <si>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</si>
  <si>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</si>
  <si>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</si>
  <si>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</si>
  <si>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</si>
  <si>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</si>
  <si>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</si>
  <si>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</si>
  <si>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</si>
  <si>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</si>
  <si>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</si>
  <si>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</si>
  <si>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</si>
  <si>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</si>
  <si>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</si>
  <si>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</si>
  <si>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</si>
  <si>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</si>
  <si>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</si>
  <si>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</si>
  <si>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</si>
  <si>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</si>
  <si>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</si>
  <si>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</si>
  <si>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</si>
  <si>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</si>
  <si>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</si>
  <si>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</si>
  <si>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</si>
  <si>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</si>
  <si>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</si>
  <si>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</si>
  <si>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</si>
  <si>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</si>
  <si>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</si>
  <si>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</si>
  <si>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</si>
  <si>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</si>
  <si>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</si>
  <si>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</si>
  <si>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</si>
  <si>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</si>
  <si>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</si>
  <si>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</si>
  <si>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</si>
  <si>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</si>
  <si>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</si>
  <si>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</si>
  <si>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</si>
  <si>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</si>
  <si>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</si>
  <si>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</si>
  <si>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</si>
  <si>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</si>
  <si>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</si>
  <si>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</si>
  <si>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</si>
  <si>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</si>
  <si>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</si>
  <si>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</si>
  <si>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</si>
  <si>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</si>
  <si>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</si>
  <si>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</si>
  <si>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</si>
  <si>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</si>
  <si>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</si>
  <si>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</si>
  <si>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</si>
  <si>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</si>
  <si>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</si>
  <si>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</si>
  <si>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</si>
  <si>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</si>
  <si>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</si>
  <si>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</si>
  <si>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</si>
  <si>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</si>
  <si>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</si>
  <si>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</si>
  <si>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</si>
  <si>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</si>
  <si>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</si>
  <si>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</si>
  <si>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</si>
  <si>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</si>
  <si>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</si>
  <si>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</si>
  <si>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</si>
  <si>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</si>
  <si>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</si>
  <si>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</si>
  <si>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</si>
  <si>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</si>
  <si>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</si>
  <si>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</si>
  <si>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</si>
  <si>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</si>
  <si>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</si>
  <si>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</si>
  <si>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</si>
  <si>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</si>
  <si>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</si>
  <si>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</si>
  <si>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</si>
  <si>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</si>
  <si>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</si>
  <si>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</si>
  <si>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</si>
  <si>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</si>
  <si>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</si>
  <si>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</si>
  <si>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</si>
  <si>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</si>
  <si>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</si>
  <si>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</si>
  <si>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</si>
  <si>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</si>
  <si>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</si>
  <si>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</si>
  <si>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</si>
  <si>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</si>
  <si>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</si>
  <si>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</si>
  <si>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</si>
  <si>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</si>
  <si>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</si>
  <si>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</si>
  <si>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</si>
  <si>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</si>
  <si>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</si>
  <si>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</si>
  <si>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</si>
  <si>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</si>
  <si>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</si>
  <si>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</si>
  <si>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</si>
  <si>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</si>
  <si>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</si>
  <si>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</si>
  <si>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</si>
  <si>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</si>
  <si>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</si>
  <si>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</si>
  <si>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</si>
  <si>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</si>
  <si>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</si>
  <si>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</si>
  <si>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</si>
  <si>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</si>
  <si>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</si>
  <si>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</si>
  <si>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</si>
  <si>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</si>
  <si>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</si>
  <si>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</si>
  <si>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</si>
  <si>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</si>
  <si>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</si>
  <si>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</si>
  <si>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</si>
  <si>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</si>
  <si>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</si>
  <si>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</si>
  <si>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</si>
  <si>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</si>
  <si>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</si>
  <si>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</si>
  <si>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</si>
  <si>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</si>
  <si>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</si>
  <si>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</si>
  <si>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</si>
  <si>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</si>
  <si>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</si>
  <si>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</si>
  <si>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</si>
  <si>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</si>
  <si>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</si>
  <si>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</si>
  <si>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</si>
  <si>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</si>
  <si>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</si>
  <si>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</si>
  <si>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</si>
  <si>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</si>
  <si>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</si>
  <si>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</si>
  <si>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</si>
  <si>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</si>
  <si>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</si>
  <si>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</si>
  <si>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</si>
  <si>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</si>
  <si>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</si>
  <si>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</si>
  <si>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</si>
  <si>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</si>
  <si>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</si>
  <si>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</si>
  <si>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</si>
  <si>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</si>
  <si>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</si>
  <si>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</si>
  <si>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</si>
  <si>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</si>
  <si>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</si>
  <si>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</si>
  <si>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</si>
  <si>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</si>
  <si>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</si>
  <si>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</si>
  <si>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</si>
  <si>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</si>
  <si>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</si>
  <si>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</si>
  <si>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</si>
  <si>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</si>
  <si>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</si>
  <si>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</si>
  <si>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</si>
  <si>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</si>
  <si>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</si>
  <si>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</si>
  <si>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</si>
  <si>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</si>
  <si>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</si>
  <si>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</si>
  <si>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</si>
  <si>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</si>
  <si>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</si>
  <si>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</si>
  <si>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</si>
  <si>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</si>
  <si>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</si>
  <si>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</si>
  <si>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</si>
  <si>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</si>
  <si>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</si>
  <si>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</si>
  <si>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</si>
  <si>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</si>
  <si>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</si>
  <si>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</si>
  <si>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</si>
  <si>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</si>
  <si>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</si>
  <si>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</si>
  <si>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</si>
  <si>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</si>
  <si>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</si>
  <si>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</si>
  <si>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</si>
  <si>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</si>
  <si>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</si>
  <si>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</si>
  <si>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</si>
  <si>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</si>
  <si>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</si>
  <si>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</si>
  <si>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</si>
  <si>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</si>
  <si>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</si>
  <si>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</si>
  <si>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</si>
  <si>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</si>
  <si>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</si>
  <si>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</si>
  <si>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</si>
  <si>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</si>
  <si>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</si>
  <si>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</si>
  <si>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</si>
  <si>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</si>
  <si>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</si>
  <si>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</si>
  <si>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</si>
  <si>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</si>
  <si>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</si>
  <si>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</si>
  <si>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</si>
  <si>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</si>
  <si>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</si>
  <si>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</si>
  <si>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</si>
  <si>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</si>
  <si>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</si>
  <si>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</si>
  <si>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</si>
  <si>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</si>
  <si>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</si>
  <si>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</si>
  <si>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</si>
  <si>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</si>
  <si>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</si>
  <si>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</si>
  <si>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</si>
  <si>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</si>
  <si>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</si>
  <si>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</si>
  <si>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</si>
  <si>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</si>
  <si>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</si>
  <si>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</si>
  <si>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</si>
  <si>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</si>
  <si>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</si>
  <si>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</si>
  <si>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</si>
  <si>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</si>
  <si>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</si>
  <si>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</si>
  <si>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</si>
  <si>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</si>
  <si>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</si>
  <si>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</si>
  <si>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</si>
  <si>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</si>
  <si>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</si>
  <si>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</si>
  <si>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</si>
  <si>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</si>
  <si>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</si>
  <si>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</si>
  <si>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</si>
  <si>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</si>
  <si>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</si>
  <si>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</si>
  <si>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</si>
  <si>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</si>
  <si>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</si>
  <si>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</si>
  <si>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</si>
  <si>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</si>
  <si>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</si>
  <si>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</si>
  <si>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</si>
  <si>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</si>
  <si>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</si>
  <si>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</si>
  <si>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</si>
  <si>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</si>
  <si>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</si>
  <si>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</si>
  <si>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</si>
  <si>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</si>
  <si>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</si>
  <si>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</si>
  <si>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</si>
  <si>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</si>
  <si>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</si>
  <si>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</si>
  <si>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</si>
  <si>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</si>
  <si>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</si>
  <si>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</si>
  <si>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</si>
  <si>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</si>
  <si>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</si>
  <si>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</si>
  <si>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</si>
  <si>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</si>
  <si>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</si>
  <si>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</si>
  <si>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</si>
  <si>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</si>
  <si>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</si>
  <si>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</si>
  <si>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</si>
  <si>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</si>
  <si>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</si>
  <si>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</si>
  <si>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</si>
  <si>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</si>
  <si>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</si>
  <si>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</si>
  <si>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</si>
  <si>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</si>
  <si>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</si>
  <si>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</si>
  <si>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</si>
  <si>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</si>
  <si>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</si>
  <si>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</si>
  <si>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</si>
  <si>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</si>
  <si>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</si>
  <si>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</si>
  <si>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</si>
  <si>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</si>
  <si>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</si>
  <si>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</si>
  <si>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</si>
  <si>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</si>
  <si>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</si>
  <si>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</si>
  <si>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</si>
  <si>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</si>
  <si>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</si>
  <si>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</si>
  <si>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</si>
  <si>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</si>
  <si>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</si>
  <si>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</si>
  <si>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</si>
  <si>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</si>
  <si>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</si>
  <si>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</si>
  <si>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</si>
  <si>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</si>
  <si>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</si>
  <si>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</si>
  <si>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</si>
  <si>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</si>
  <si>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</si>
  <si>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</si>
  <si>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</si>
  <si>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</si>
  <si>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</si>
  <si>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</si>
  <si>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</si>
  <si>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</si>
  <si>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</si>
  <si>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</si>
  <si>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</si>
  <si>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</si>
  <si>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</si>
  <si>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</si>
  <si>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</si>
  <si>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</si>
  <si>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</si>
  <si>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</si>
  <si>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</si>
  <si>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</si>
  <si>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</si>
  <si>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</si>
  <si>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</si>
  <si>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</si>
  <si>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</si>
  <si>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</si>
  <si>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</si>
  <si>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</si>
  <si>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</si>
  <si>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</si>
  <si>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</si>
  <si>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</si>
  <si>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</si>
  <si>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</si>
  <si>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</si>
  <si>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</si>
  <si>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</si>
  <si>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</si>
  <si>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</si>
  <si>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</si>
  <si>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</si>
  <si>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</si>
  <si>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</si>
  <si>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</si>
  <si>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</si>
  <si>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</si>
  <si>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</si>
  <si>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</si>
  <si>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</si>
  <si>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</si>
  <si>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</si>
  <si>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</si>
  <si>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</si>
  <si>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</si>
  <si>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</si>
  <si>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</si>
  <si>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</si>
  <si>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</si>
  <si>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</si>
  <si>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</si>
  <si>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</si>
  <si>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</si>
  <si>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</si>
  <si>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</si>
  <si>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</si>
  <si>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</si>
  <si>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</si>
  <si>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</si>
  <si>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</si>
  <si>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</si>
  <si>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</si>
  <si>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</si>
  <si>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</si>
  <si>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</si>
  <si>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</si>
  <si>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</si>
  <si>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</si>
  <si>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</si>
  <si>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</si>
  <si>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</si>
  <si>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</si>
  <si>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</si>
  <si>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</si>
  <si>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</si>
  <si>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</si>
  <si>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</si>
  <si>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</si>
  <si>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</si>
  <si>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</si>
  <si>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</si>
  <si>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</si>
  <si>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</si>
  <si>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</si>
  <si>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</si>
  <si>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</si>
  <si>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</si>
  <si>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</si>
  <si>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</si>
  <si>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</si>
  <si>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</si>
  <si>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</si>
  <si>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</si>
  <si>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</si>
  <si>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</si>
  <si>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</si>
  <si>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</si>
  <si>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</si>
  <si>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</si>
  <si>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</si>
  <si>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</si>
  <si>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</si>
  <si>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</si>
  <si>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</si>
  <si>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</si>
  <si>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</si>
  <si>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</si>
  <si>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</si>
  <si>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</si>
  <si>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</si>
  <si>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</si>
  <si>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</si>
  <si>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</si>
  <si>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</si>
  <si>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</si>
  <si>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</si>
  <si>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</si>
  <si>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</si>
  <si>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</si>
  <si>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</si>
  <si>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</si>
  <si>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</si>
  <si>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</si>
  <si>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</si>
  <si>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</si>
  <si>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</si>
  <si>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</si>
  <si>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</si>
  <si>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</si>
  <si>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</si>
  <si>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</si>
  <si>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</si>
  <si>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</si>
  <si>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</si>
  <si>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</si>
  <si>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</si>
  <si>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</si>
  <si>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</si>
  <si>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</si>
  <si>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</si>
  <si>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</si>
  <si>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</si>
  <si>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</si>
  <si>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</si>
  <si>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</si>
  <si>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</si>
  <si>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</si>
  <si>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</si>
  <si>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</si>
  <si>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</si>
  <si>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</si>
  <si>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</si>
  <si>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</si>
  <si>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</si>
  <si>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</si>
  <si>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</si>
  <si>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</si>
  <si>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</si>
  <si>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</si>
  <si>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</si>
  <si>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</si>
  <si>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</si>
  <si>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</si>
  <si>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</si>
  <si>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</si>
  <si>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</si>
  <si>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</si>
  <si>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</si>
  <si>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</si>
  <si>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</si>
  <si>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</si>
  <si>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</si>
  <si>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</si>
  <si>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</si>
  <si>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</si>
  <si>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</si>
  <si>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</si>
  <si>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</si>
  <si>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</si>
  <si>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</si>
  <si>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</si>
  <si>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</si>
  <si>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</si>
  <si>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</si>
  <si>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</si>
  <si>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</si>
  <si>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</si>
  <si>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</si>
  <si>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</si>
  <si>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</si>
  <si>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</si>
  <si>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</si>
  <si>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</si>
  <si>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</si>
  <si>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</si>
  <si>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</si>
  <si>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</si>
  <si>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</si>
  <si>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</si>
  <si>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</si>
  <si>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</si>
  <si>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</si>
  <si>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</si>
  <si>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</si>
  <si>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</si>
  <si>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</si>
  <si>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</si>
  <si>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</si>
  <si>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</si>
  <si>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</si>
  <si>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</si>
  <si>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</si>
  <si>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</si>
  <si>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</si>
  <si>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</si>
  <si>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</si>
  <si>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</si>
  <si>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</si>
  <si>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</si>
  <si>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</si>
  <si>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</si>
  <si>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</si>
  <si>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</si>
  <si>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</si>
  <si>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</si>
  <si>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</si>
  <si>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</si>
  <si>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</si>
  <si>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</si>
  <si>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</si>
  <si>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</si>
  <si>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</si>
  <si>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</si>
  <si>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</si>
  <si>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</si>
  <si>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</si>
  <si>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</si>
  <si>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</si>
  <si>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</si>
  <si>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</si>
  <si>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</si>
  <si>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</si>
  <si>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</si>
  <si>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</si>
  <si>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</si>
  <si>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</si>
  <si>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</si>
  <si>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</si>
  <si>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</si>
  <si>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</si>
  <si>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</si>
  <si>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</si>
  <si>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</si>
  <si>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</si>
  <si>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</si>
  <si>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</si>
  <si>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</si>
  <si>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</si>
  <si>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</si>
  <si>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</si>
  <si>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</si>
  <si>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</si>
  <si>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</si>
  <si>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</si>
  <si>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</si>
  <si>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</si>
  <si>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</si>
  <si>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</si>
  <si>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</si>
  <si>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</si>
  <si>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</si>
  <si>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</si>
  <si>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</si>
  <si>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</si>
  <si>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</si>
  <si>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</si>
  <si>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</si>
  <si>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</si>
  <si>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</si>
  <si>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</si>
  <si>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</si>
  <si>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</si>
  <si>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</si>
  <si>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</si>
  <si>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</si>
  <si>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</si>
  <si>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</si>
  <si>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</si>
  <si>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</si>
  <si>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</si>
  <si>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</si>
  <si>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</si>
  <si>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</si>
  <si>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</si>
  <si>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</si>
  <si>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</si>
  <si>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</si>
  <si>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</si>
  <si>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</si>
  <si>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</si>
  <si>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</si>
  <si>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</si>
  <si>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</si>
  <si>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</si>
  <si>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</si>
  <si>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</si>
  <si>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</si>
  <si>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</si>
  <si>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</si>
  <si>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</si>
  <si>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</si>
  <si>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</si>
  <si>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</si>
  <si>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</si>
  <si>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</si>
  <si>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</si>
  <si>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</si>
  <si>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</si>
  <si>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</si>
  <si>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</si>
  <si>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</si>
  <si>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</si>
  <si>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</si>
  <si>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</si>
  <si>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</si>
  <si>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</si>
  <si>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</si>
  <si>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</si>
  <si>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</si>
  <si>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</si>
  <si>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</si>
  <si>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</si>
  <si>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</si>
  <si>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</si>
  <si>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</si>
  <si>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</si>
  <si>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</si>
  <si>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</si>
  <si>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</si>
  <si>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</si>
  <si>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</si>
  <si>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</si>
  <si>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</si>
  <si>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</si>
  <si>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</si>
  <si>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</si>
  <si>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</si>
  <si>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</si>
  <si>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</si>
  <si>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</si>
  <si>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</si>
  <si>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</si>
  <si>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</si>
  <si>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</si>
  <si>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</si>
  <si>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</si>
  <si>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</si>
  <si>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</si>
  <si>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</si>
  <si>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</si>
  <si>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</si>
  <si>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</si>
  <si>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</si>
  <si>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</si>
  <si>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</si>
  <si>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</si>
  <si>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</si>
  <si>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</si>
  <si>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</si>
  <si>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</si>
  <si>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</si>
  <si>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</si>
  <si>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</si>
  <si>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</si>
  <si>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</si>
  <si>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</si>
  <si>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</si>
  <si>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</si>
  <si>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</si>
  <si>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</si>
  <si>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</si>
  <si>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</si>
  <si>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</si>
  <si>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</si>
  <si>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</si>
  <si>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</si>
  <si>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</si>
  <si>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</si>
  <si>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</si>
  <si>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</si>
  <si>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</si>
  <si>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</si>
  <si>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</si>
  <si>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</si>
  <si>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</si>
  <si>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</si>
  <si>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</si>
  <si>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</si>
  <si>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</si>
  <si>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</si>
  <si>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</si>
  <si>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</si>
  <si>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</si>
  <si>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</si>
  <si>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</si>
  <si>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</si>
  <si>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</si>
  <si>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</si>
  <si>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</si>
  <si>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</si>
  <si>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</si>
  <si>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</si>
  <si>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</si>
  <si>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</si>
  <si>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</si>
  <si>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</si>
  <si>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</si>
  <si>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</si>
  <si>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</si>
  <si>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</si>
  <si>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</si>
  <si>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</si>
  <si>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</si>
  <si>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</si>
  <si>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</si>
  <si>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</si>
  <si>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</si>
  <si>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</si>
  <si>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</si>
  <si>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</si>
  <si>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</si>
  <si>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</si>
  <si>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</si>
  <si>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</si>
  <si>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</si>
  <si>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</si>
  <si>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</si>
  <si>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</si>
  <si>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</si>
  <si>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</si>
  <si>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</si>
  <si>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</si>
  <si>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</si>
  <si>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</si>
  <si>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</si>
  <si>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</si>
  <si>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</si>
  <si>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</si>
  <si>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</si>
  <si>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</si>
  <si>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</si>
  <si>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</si>
  <si>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</si>
  <si>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</si>
  <si>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</si>
  <si>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</si>
  <si>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</si>
  <si>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</si>
  <si>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</si>
  <si>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</si>
  <si>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</si>
  <si>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</si>
  <si>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</si>
  <si>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</si>
  <si>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</si>
  <si>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</si>
  <si>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</si>
  <si>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</si>
  <si>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</si>
  <si>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</si>
  <si>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</si>
  <si>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</si>
  <si>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</si>
  <si>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</si>
  <si>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</si>
  <si>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</si>
  <si>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</si>
  <si>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</si>
  <si>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</si>
  <si>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</si>
  <si>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</si>
  <si>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</si>
  <si>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</si>
  <si>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</si>
  <si>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</si>
  <si>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</si>
  <si>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</si>
  <si>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</si>
  <si>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</si>
  <si>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</si>
  <si>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</si>
  <si>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</si>
  <si>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</si>
  <si>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</si>
  <si>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</si>
  <si>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</si>
  <si>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</si>
  <si>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</si>
  <si>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</si>
  <si>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</si>
  <si>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</si>
  <si>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</si>
  <si>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</si>
  <si>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</si>
  <si>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</si>
  <si>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</si>
  <si>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</si>
  <si>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</si>
  <si>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</si>
  <si>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</si>
  <si>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</si>
  <si>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</si>
  <si>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</si>
  <si>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</si>
  <si>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</si>
  <si>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</si>
  <si>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</si>
  <si>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</si>
  <si>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</si>
  <si>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</si>
  <si>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</si>
  <si>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</si>
  <si>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</si>
  <si>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</si>
  <si>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</si>
  <si>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</si>
  <si>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</si>
  <si>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</si>
  <si>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</si>
  <si>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</si>
  <si>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</si>
  <si>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</si>
  <si>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</si>
  <si>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</si>
  <si>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</si>
  <si>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</si>
  <si>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</si>
  <si>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</si>
  <si>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</si>
  <si>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</si>
  <si>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</si>
  <si>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</si>
  <si>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</si>
  <si>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</si>
  <si>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</si>
  <si>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</si>
  <si>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</si>
  <si>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</si>
  <si>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</si>
  <si>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</si>
  <si>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</si>
  <si>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</si>
  <si>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</si>
  <si>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</si>
  <si>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</si>
  <si>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</si>
  <si>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</si>
  <si>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</si>
  <si>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</si>
  <si>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</si>
  <si>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</si>
  <si>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</si>
  <si>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</si>
  <si>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</si>
  <si>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</si>
  <si>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</si>
  <si>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</si>
  <si>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</si>
  <si>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</si>
  <si>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</si>
  <si>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</si>
  <si>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</si>
  <si>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</si>
  <si>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</si>
  <si>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</si>
  <si>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</si>
  <si>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</si>
  <si>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</si>
  <si>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</si>
  <si>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</si>
  <si>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</si>
  <si>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</si>
  <si>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</si>
  <si>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</si>
  <si>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</si>
  <si>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</si>
  <si>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</si>
  <si>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</si>
  <si>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</si>
  <si>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</si>
  <si>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</si>
  <si>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</si>
  <si>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</si>
  <si>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</si>
  <si>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</si>
  <si>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</si>
  <si>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</si>
  <si>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</si>
  <si>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</si>
  <si>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</si>
  <si>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</si>
  <si>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</si>
  <si>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</si>
  <si>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</si>
  <si>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</si>
  <si>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</si>
  <si>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</si>
  <si>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</si>
  <si>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</si>
  <si>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</si>
  <si>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</si>
  <si>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</si>
  <si>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</si>
  <si>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</si>
  <si>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</si>
  <si>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</si>
  <si>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</si>
  <si>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</si>
  <si>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</si>
  <si>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</si>
  <si>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</si>
  <si>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</si>
  <si>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</si>
  <si>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</si>
  <si>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</si>
  <si>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</si>
  <si>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</si>
  <si>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</si>
  <si>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</si>
  <si>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</si>
  <si>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</si>
  <si>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</si>
  <si>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</si>
  <si>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</si>
  <si>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</si>
  <si>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</si>
  <si>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</si>
  <si>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</si>
  <si>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</si>
  <si>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</si>
  <si>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</si>
  <si>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</si>
  <si>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</si>
  <si>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</si>
  <si>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</si>
  <si>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</si>
  <si>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</si>
  <si>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</si>
  <si>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</si>
  <si>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</si>
  <si>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</si>
  <si>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</si>
  <si>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</si>
  <si>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</si>
  <si>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</si>
  <si>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</si>
  <si>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</si>
  <si>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</si>
  <si>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</si>
  <si>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</si>
  <si>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</si>
  <si>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</si>
  <si>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</si>
  <si>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</si>
  <si>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</si>
  <si>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</si>
  <si>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</si>
  <si>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</si>
  <si>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</si>
  <si>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</si>
  <si>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</si>
  <si>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</si>
  <si>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</si>
  <si>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</si>
  <si>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</si>
  <si>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</si>
  <si>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</si>
  <si>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</si>
  <si>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</si>
  <si>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</si>
  <si>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</si>
  <si>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</si>
  <si>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</si>
  <si>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</si>
  <si>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</si>
  <si>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</si>
  <si>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</si>
  <si>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</si>
  <si>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</si>
  <si>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</si>
  <si>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</si>
  <si>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</si>
  <si>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</si>
  <si>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</si>
  <si>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</si>
  <si>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</si>
  <si>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</si>
  <si>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</si>
  <si>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</si>
  <si>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</si>
  <si>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</si>
  <si>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</si>
  <si>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</si>
  <si>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</si>
  <si>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</si>
  <si>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</si>
  <si>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</si>
  <si>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</si>
  <si>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</si>
  <si>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</si>
  <si>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</si>
  <si>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</si>
  <si>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</si>
  <si>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</si>
  <si>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</si>
  <si>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</si>
  <si>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</si>
  <si>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</si>
  <si>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</si>
  <si>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</si>
  <si>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</si>
  <si>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</si>
  <si>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</si>
  <si>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</si>
  <si>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</si>
  <si>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</si>
  <si>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</si>
  <si>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</si>
  <si>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</si>
  <si>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</si>
  <si>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</si>
  <si>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</si>
  <si>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</si>
  <si>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</si>
  <si>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</si>
  <si>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</si>
  <si>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</si>
  <si>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</si>
  <si>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</si>
  <si>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</si>
  <si>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</si>
  <si>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</si>
  <si>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</si>
  <si>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</si>
  <si>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</si>
  <si>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</si>
  <si>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</si>
  <si>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</si>
  <si>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</si>
  <si>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</si>
  <si>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</si>
  <si>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</si>
  <si>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</si>
  <si>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</si>
  <si>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</si>
  <si>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</si>
  <si>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</si>
  <si>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</si>
  <si>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</si>
  <si>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</si>
  <si>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</si>
  <si>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</si>
  <si>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</si>
  <si>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</si>
  <si>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</si>
  <si>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</si>
  <si>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</si>
  <si>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</si>
  <si>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</si>
  <si>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</si>
  <si>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</si>
  <si>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</si>
  <si>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</si>
  <si>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</si>
  <si>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</si>
  <si>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</si>
  <si>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</si>
  <si>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</si>
  <si>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</si>
  <si>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</si>
  <si>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</si>
  <si>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</si>
  <si>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</si>
  <si>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</si>
  <si>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</si>
  <si>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</si>
  <si>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</si>
  <si>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</si>
  <si>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</si>
  <si>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</si>
  <si>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</si>
  <si>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</si>
  <si>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</si>
  <si>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</si>
  <si>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</si>
  <si>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</si>
  <si>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</si>
  <si>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</si>
  <si>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</si>
  <si>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</si>
  <si>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</si>
  <si>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</si>
  <si>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</si>
  <si>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</si>
  <si>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</si>
  <si>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</si>
  <si>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</si>
  <si>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</si>
  <si>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</si>
  <si>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</si>
  <si>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</si>
  <si>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</si>
  <si>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</si>
  <si>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</si>
  <si>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</si>
  <si>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</si>
  <si>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</si>
  <si>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</si>
  <si>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</si>
  <si>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</si>
  <si>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</si>
  <si>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</si>
  <si>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</si>
  <si>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</si>
  <si>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</si>
  <si>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</si>
  <si>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</si>
  <si>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</si>
  <si>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</si>
  <si>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</si>
  <si>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</si>
  <si>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</si>
  <si>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</si>
  <si>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</si>
  <si>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</si>
  <si>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</si>
  <si>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</si>
  <si>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</si>
  <si>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</si>
  <si>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</si>
  <si>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</si>
  <si>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</si>
  <si>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</si>
  <si>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</si>
  <si>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</si>
  <si>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</si>
  <si>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</si>
  <si>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</si>
  <si>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</si>
  <si>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</si>
  <si>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</si>
  <si>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</si>
  <si>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</si>
  <si>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</si>
  <si>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</si>
  <si>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</si>
  <si>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</si>
  <si>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</si>
  <si>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</si>
  <si>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</si>
  <si>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</si>
  <si>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</si>
  <si>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</si>
  <si>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</si>
  <si>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</si>
  <si>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</si>
  <si>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</si>
  <si>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</si>
  <si>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</si>
  <si>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</si>
  <si>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</si>
  <si>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</si>
  <si>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</si>
  <si>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</si>
  <si>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</si>
  <si>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</si>
  <si>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</si>
  <si>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</si>
  <si>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</si>
  <si>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</si>
  <si>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</si>
  <si>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</si>
  <si>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</si>
  <si>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</si>
  <si>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</si>
  <si>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</si>
  <si>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</si>
  <si>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</si>
  <si>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</si>
  <si>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</si>
  <si>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</si>
  <si>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</si>
  <si>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</si>
  <si>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</si>
  <si>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</si>
  <si>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</si>
  <si>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</si>
  <si>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</si>
  <si>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</si>
  <si>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</si>
  <si>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</si>
  <si>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</si>
  <si>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</si>
  <si>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</si>
  <si>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</si>
  <si>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</si>
  <si>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</si>
  <si>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</si>
  <si>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</si>
  <si>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</si>
  <si>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</si>
  <si>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</si>
  <si>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</si>
  <si>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</si>
  <si>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</si>
  <si>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</si>
  <si>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</si>
  <si>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</si>
  <si>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</si>
  <si>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</si>
  <si>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</si>
  <si>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</si>
  <si>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</si>
  <si>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</si>
  <si>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</si>
  <si>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</si>
  <si>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</si>
  <si>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</si>
  <si>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</si>
  <si>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</si>
  <si>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</si>
  <si>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</si>
  <si>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</si>
  <si>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</si>
  <si>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</si>
  <si>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</si>
  <si>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</si>
  <si>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</si>
  <si>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</si>
  <si>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</si>
  <si>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</si>
  <si>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</si>
  <si>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</si>
  <si>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</si>
  <si>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</si>
  <si>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</si>
  <si>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</si>
  <si>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</si>
  <si>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</si>
  <si>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</si>
  <si>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</si>
  <si>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</si>
  <si>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</si>
  <si>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</si>
  <si>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</si>
  <si>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</si>
  <si>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</si>
  <si>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</si>
  <si>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</si>
  <si>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</si>
  <si>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</si>
  <si>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</si>
  <si>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</si>
  <si>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</si>
  <si>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</si>
  <si>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</si>
  <si>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</si>
  <si>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</si>
  <si>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</si>
  <si>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</si>
  <si>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</si>
  <si>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</si>
  <si>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</si>
  <si>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</si>
  <si>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</si>
  <si>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</si>
  <si>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</si>
  <si>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</si>
  <si>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</si>
  <si>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</si>
  <si>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</si>
  <si>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</si>
  <si>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</si>
  <si>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</si>
  <si>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</si>
  <si>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</si>
  <si>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</si>
  <si>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</si>
  <si>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</si>
  <si>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</si>
  <si>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</si>
  <si>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</si>
  <si>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</si>
  <si>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</si>
  <si>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</si>
  <si>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</si>
  <si>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</si>
  <si>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</si>
  <si>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</si>
  <si>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</si>
  <si>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</si>
  <si>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</si>
  <si>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</si>
  <si>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</si>
  <si>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</si>
  <si>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</si>
  <si>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</si>
  <si>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</si>
  <si>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</si>
  <si>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</si>
  <si>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</si>
  <si>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</si>
  <si>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</si>
  <si>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</si>
  <si>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</si>
  <si>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</si>
  <si>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</si>
  <si>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</si>
  <si>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</si>
  <si>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</si>
  <si>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</si>
  <si>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</si>
  <si>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</si>
  <si>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</si>
  <si>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</si>
  <si>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</si>
  <si>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</si>
  <si>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</si>
  <si>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</si>
  <si>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</si>
  <si>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</si>
  <si>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</si>
  <si>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</si>
  <si>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</si>
  <si>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</si>
  <si>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</si>
  <si>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</si>
  <si>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</si>
  <si>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</si>
  <si>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</si>
  <si>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</si>
  <si>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</si>
  <si>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</si>
  <si>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</si>
  <si>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</si>
  <si>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</si>
  <si>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</si>
  <si>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</si>
  <si>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</si>
  <si>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</si>
  <si>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</si>
  <si>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</si>
  <si>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</si>
  <si>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</si>
  <si>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</si>
  <si>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</si>
  <si>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</si>
  <si>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</si>
  <si>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</si>
  <si>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</si>
  <si>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</si>
  <si>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</si>
  <si>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</si>
  <si>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</si>
  <si>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</si>
  <si>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</si>
  <si>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</si>
  <si>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</si>
  <si>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</si>
  <si>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</si>
  <si>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</si>
  <si>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</si>
  <si>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</si>
  <si>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</si>
  <si>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</si>
  <si>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</si>
  <si>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</si>
  <si>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</si>
  <si>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</si>
  <si>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</si>
  <si>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</si>
  <si>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</si>
  <si>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</si>
  <si>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</si>
  <si>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</si>
  <si>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</si>
  <si>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</si>
  <si>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</si>
  <si>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</si>
  <si>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</si>
  <si>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</si>
  <si>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</si>
  <si>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</si>
  <si>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</si>
  <si>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</si>
  <si>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</si>
  <si>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</si>
  <si>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</si>
  <si>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</si>
  <si>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</si>
  <si>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</si>
  <si>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</si>
  <si>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</si>
  <si>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</si>
  <si>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</si>
  <si>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</si>
  <si>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</si>
  <si>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</si>
  <si>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</si>
  <si>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</si>
  <si>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</si>
  <si>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</si>
  <si>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</si>
  <si>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</si>
  <si>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</si>
  <si>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</si>
  <si>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</si>
  <si>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</si>
  <si>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</si>
  <si>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</si>
  <si>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</si>
  <si>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</si>
  <si>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</si>
  <si>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</si>
  <si>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</si>
  <si>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</si>
  <si>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</si>
  <si>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</si>
  <si>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</si>
  <si>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</si>
  <si>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</si>
  <si>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</si>
  <si>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</si>
  <si>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</si>
  <si>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</si>
  <si>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</si>
  <si>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</si>
  <si>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</si>
  <si>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</si>
  <si>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</si>
  <si>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</si>
  <si>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</si>
  <si>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</si>
  <si>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</si>
  <si>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</si>
  <si>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</si>
  <si>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</si>
  <si>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</si>
  <si>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</si>
  <si>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</si>
  <si>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</si>
  <si>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</si>
  <si>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</si>
  <si>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</si>
  <si>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</si>
  <si>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</si>
  <si>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</si>
  <si>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</si>
  <si>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</si>
  <si>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</si>
  <si>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</si>
  <si>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</si>
  <si>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</si>
  <si>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</si>
  <si>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</si>
  <si>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</si>
  <si>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</si>
  <si>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</si>
  <si>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</si>
  <si>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</si>
  <si>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</si>
  <si>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</si>
  <si>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</si>
  <si>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</si>
  <si>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</si>
  <si>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</si>
  <si>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</si>
  <si>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</si>
  <si>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</si>
  <si>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</si>
  <si>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</si>
  <si>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</si>
  <si>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</si>
  <si>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</si>
  <si>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</si>
  <si>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</si>
  <si>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</si>
  <si>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</si>
  <si>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</si>
  <si>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</si>
  <si>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</si>
  <si>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</si>
  <si>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</si>
  <si>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</si>
  <si>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</si>
  <si>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</si>
  <si>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</si>
  <si>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</si>
  <si>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</si>
  <si>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</si>
  <si>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</si>
  <si>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</si>
  <si>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</si>
  <si>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</si>
  <si>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</si>
  <si>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</si>
  <si>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</si>
  <si>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</si>
  <si>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</si>
  <si>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</si>
  <si>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</si>
  <si>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</si>
  <si>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</si>
  <si>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</si>
  <si>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</si>
  <si>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</si>
  <si>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</si>
  <si>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</si>
  <si>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</si>
  <si>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</si>
  <si>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</si>
  <si>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</si>
  <si>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</si>
  <si>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</si>
  <si>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</si>
  <si>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</si>
  <si>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</si>
  <si>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</si>
  <si>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</si>
  <si>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</si>
  <si>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</si>
  <si>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</si>
  <si>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</si>
  <si>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</si>
  <si>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</si>
  <si>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</si>
  <si>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</si>
  <si>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</si>
  <si>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</si>
  <si>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</si>
  <si>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</si>
  <si>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</si>
  <si>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</si>
  <si>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</si>
  <si>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</si>
  <si>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</si>
  <si>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</si>
  <si>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</si>
  <si>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</si>
  <si>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</si>
  <si>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</si>
  <si>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</si>
  <si>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</si>
  <si>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</si>
  <si>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</si>
  <si>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</si>
  <si>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</si>
  <si>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</si>
  <si>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</si>
  <si>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</si>
  <si>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</si>
  <si>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</si>
  <si>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</si>
  <si>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</si>
  <si>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</si>
  <si>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</si>
  <si>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</si>
  <si>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</si>
  <si>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</si>
  <si>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</si>
  <si>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</si>
  <si>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</si>
  <si>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</si>
  <si>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</si>
  <si>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</si>
  <si>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</si>
  <si>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</si>
  <si>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</si>
  <si>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</si>
  <si>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</si>
  <si>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</si>
  <si>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</si>
  <si>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</si>
  <si>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</si>
  <si>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</si>
  <si>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</si>
  <si>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</si>
  <si>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</si>
  <si>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</si>
  <si>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</si>
  <si>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</si>
  <si>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</si>
  <si>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</si>
  <si>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</si>
  <si>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</si>
  <si>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</si>
  <si>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</si>
  <si>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</si>
  <si>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</si>
  <si>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</si>
  <si>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</si>
  <si>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</si>
  <si>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</si>
  <si>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</si>
  <si>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</si>
  <si>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</si>
  <si>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</si>
  <si>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</si>
  <si>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</si>
  <si>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</si>
  <si>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</si>
  <si>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</si>
  <si>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</si>
  <si>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</si>
  <si>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</si>
  <si>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</si>
  <si>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</si>
  <si>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</si>
  <si>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</si>
  <si>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</si>
  <si>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</si>
  <si>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</si>
  <si>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</si>
  <si>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</si>
  <si>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</si>
  <si>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</si>
  <si>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</si>
  <si>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</si>
  <si>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</si>
  <si>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</si>
  <si>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</si>
  <si>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</si>
  <si>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</si>
  <si>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</si>
  <si>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</si>
  <si>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</si>
  <si>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</si>
  <si>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</si>
  <si>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</si>
  <si>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</si>
  <si>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</si>
  <si>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</si>
  <si>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</si>
  <si>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</si>
  <si>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</si>
  <si>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</si>
  <si>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</si>
  <si>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</si>
  <si>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</si>
  <si>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</si>
  <si>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</si>
  <si>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</si>
  <si>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</si>
  <si>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</si>
  <si>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</si>
  <si>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</si>
  <si>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</si>
  <si>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</si>
  <si>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</si>
  <si>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</si>
  <si>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</si>
  <si>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</si>
  <si>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</si>
  <si>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</si>
  <si>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</si>
  <si>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</si>
  <si>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</si>
  <si>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</si>
  <si>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</si>
  <si>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</si>
  <si>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</si>
  <si>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</si>
  <si>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</si>
  <si>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</si>
  <si>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</si>
  <si>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</si>
  <si>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</si>
  <si>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</si>
  <si>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</si>
  <si>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</si>
  <si>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</si>
  <si>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</si>
  <si>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</si>
  <si>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</si>
  <si>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</si>
  <si>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</si>
  <si>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</si>
  <si>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</si>
  <si>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</si>
  <si>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</si>
  <si>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</si>
  <si>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</si>
  <si>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</si>
  <si>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</si>
  <si>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</si>
  <si>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</si>
  <si>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</si>
  <si>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</si>
  <si>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</si>
  <si>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</si>
  <si>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</si>
  <si>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</si>
  <si>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</si>
  <si>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</si>
  <si>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</si>
  <si>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</si>
  <si>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</si>
  <si>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</si>
  <si>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</si>
  <si>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</si>
  <si>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</si>
  <si>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</si>
  <si>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</si>
  <si>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</si>
  <si>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</si>
  <si>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</si>
  <si>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</si>
  <si>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</si>
  <si>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</si>
  <si>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</si>
  <si>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</si>
  <si>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</si>
  <si>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</si>
  <si>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</si>
  <si>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</si>
  <si>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</si>
  <si>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</si>
  <si>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</si>
  <si>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</si>
  <si>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</si>
  <si>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</si>
  <si>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</si>
  <si>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</si>
  <si>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</si>
  <si>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</si>
  <si>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</si>
  <si>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</si>
  <si>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</si>
  <si>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</si>
  <si>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</si>
  <si>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</si>
  <si>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</si>
  <si>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</si>
  <si>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</si>
  <si>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</si>
  <si>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</si>
  <si>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</si>
  <si>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</si>
  <si>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</si>
  <si>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</si>
  <si>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</si>
  <si>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</si>
  <si>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</si>
  <si>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</si>
  <si>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</si>
  <si>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</si>
  <si>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</si>
  <si>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</si>
  <si>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</si>
  <si>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</si>
  <si>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</si>
  <si>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</si>
  <si>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</si>
  <si>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</si>
  <si>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</si>
  <si>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</si>
  <si>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</si>
  <si>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</si>
  <si>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</si>
  <si>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</si>
  <si>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</si>
  <si>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</si>
  <si>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</si>
  <si>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</si>
  <si>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</si>
  <si>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</si>
  <si>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</si>
  <si>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</si>
  <si>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</si>
  <si>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</si>
  <si>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</si>
  <si>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</si>
  <si>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</si>
  <si>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</si>
  <si>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</si>
  <si>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</si>
  <si>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</si>
  <si>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</si>
  <si>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</si>
  <si>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</si>
  <si>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</si>
  <si>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</si>
  <si>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</si>
  <si>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</si>
  <si>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</si>
  <si>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</si>
  <si>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</si>
  <si>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</si>
  <si>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</si>
  <si>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</si>
  <si>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</si>
  <si>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</si>
  <si>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</si>
  <si>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</si>
  <si>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</si>
  <si>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</si>
  <si>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</si>
  <si>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</si>
  <si>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</si>
  <si>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</si>
  <si>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</si>
  <si>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</si>
  <si>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</si>
  <si>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</si>
  <si>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</si>
  <si>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</si>
  <si>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</si>
  <si>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</si>
  <si>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</si>
  <si>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</si>
  <si>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</si>
  <si>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</si>
  <si>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</si>
  <si>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</si>
  <si>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</si>
  <si>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</si>
  <si>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</si>
  <si>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</si>
  <si>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</si>
  <si>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</si>
  <si>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</si>
  <si>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</si>
  <si>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</si>
  <si>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</si>
  <si>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</si>
  <si>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</si>
  <si>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</si>
  <si>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</si>
  <si>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</si>
  <si>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</si>
  <si>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</si>
  <si>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</si>
  <si>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</si>
  <si>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</si>
  <si>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</si>
  <si>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</si>
  <si>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</si>
  <si>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</si>
  <si>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</si>
  <si>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</si>
  <si>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</si>
  <si>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</si>
  <si>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</si>
  <si>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</si>
  <si>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</si>
  <si>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</si>
  <si>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</si>
  <si>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</si>
  <si>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</si>
  <si>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</si>
  <si>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</si>
  <si>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</si>
  <si>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</si>
  <si>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</si>
  <si>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</si>
  <si>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</si>
  <si>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</si>
  <si>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</si>
  <si>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</si>
  <si>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</si>
  <si>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</si>
  <si>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</si>
  <si>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</si>
  <si>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</si>
  <si>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</si>
  <si>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</si>
  <si>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</si>
  <si>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</si>
  <si>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</si>
  <si>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</si>
  <si>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</si>
  <si>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</si>
  <si>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</si>
  <si>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</si>
  <si>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</si>
  <si>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</si>
  <si>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</si>
  <si>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</si>
  <si>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</si>
  <si>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</si>
  <si>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</si>
  <si>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</si>
  <si>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</si>
  <si>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</si>
  <si>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</si>
  <si>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</si>
  <si>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</si>
  <si>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</si>
  <si>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</si>
  <si>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</si>
  <si>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</si>
  <si>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</si>
  <si>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</si>
  <si>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</si>
  <si>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</si>
  <si>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</si>
  <si>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</si>
  <si>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</si>
  <si>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</si>
  <si>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</si>
  <si>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</si>
  <si>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</si>
  <si>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</si>
  <si>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</si>
  <si>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</si>
  <si>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</si>
  <si>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</si>
  <si>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</si>
  <si>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</si>
  <si>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</si>
  <si>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</si>
  <si>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</si>
  <si>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</si>
  <si>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</si>
  <si>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</si>
  <si>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</si>
  <si>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</si>
  <si>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</si>
  <si>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</si>
  <si>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</si>
  <si>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</si>
  <si>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</si>
  <si>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</si>
  <si>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</si>
  <si>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</si>
  <si>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</si>
  <si>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</si>
  <si>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</si>
  <si>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</si>
  <si>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</si>
  <si>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</si>
  <si>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</si>
  <si>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</si>
  <si>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</si>
  <si>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</si>
  <si>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</si>
  <si>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</si>
  <si>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</si>
  <si>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</si>
  <si>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</si>
  <si>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</si>
  <si>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</si>
  <si>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</si>
  <si>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</si>
  <si>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</si>
  <si>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</si>
  <si>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</si>
  <si>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</si>
  <si>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</si>
  <si>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</si>
  <si>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</si>
  <si>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</si>
  <si>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</si>
  <si>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</si>
  <si>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</si>
  <si>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</si>
  <si>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</si>
  <si>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</si>
  <si>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</si>
  <si>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</si>
  <si>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</si>
  <si>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</si>
  <si>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</si>
  <si>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</si>
  <si>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</si>
  <si>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</si>
  <si>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</si>
  <si>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</si>
  <si>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</si>
  <si>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</si>
  <si>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</si>
  <si>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</si>
  <si>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</si>
  <si>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</si>
  <si>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</si>
  <si>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</si>
  <si>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</si>
  <si>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</si>
  <si>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</si>
  <si>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</si>
  <si>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</si>
  <si>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</si>
  <si>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</si>
  <si>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</si>
  <si>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</si>
  <si>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</si>
  <si>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</si>
  <si>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</si>
  <si>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</si>
  <si>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</si>
  <si>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</si>
  <si>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</si>
  <si>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</si>
  <si>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</si>
  <si>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</si>
  <si>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</si>
  <si>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</si>
  <si>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</si>
  <si>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</si>
  <si>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</si>
  <si>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</si>
  <si>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</si>
  <si>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</si>
  <si>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</si>
  <si>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</si>
  <si>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</si>
  <si>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</si>
  <si>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</si>
  <si>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</si>
  <si>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</si>
  <si>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</si>
  <si>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</si>
  <si>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</si>
  <si>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</si>
  <si>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</si>
  <si>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</si>
  <si>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</si>
  <si>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</si>
  <si>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</si>
  <si>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</si>
  <si>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</si>
  <si>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</si>
  <si>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</si>
  <si>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</si>
  <si>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</si>
  <si>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</si>
  <si>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</si>
  <si>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</si>
  <si>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</si>
  <si>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</si>
  <si>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</si>
  <si>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</si>
  <si>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</si>
  <si>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</si>
  <si>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</si>
  <si>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</si>
  <si>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</si>
  <si>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</si>
  <si>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</si>
  <si>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</si>
  <si>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</si>
  <si>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</si>
  <si>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</si>
  <si>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</si>
  <si>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</si>
  <si>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</si>
  <si>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</si>
  <si>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</si>
  <si>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</si>
  <si>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</si>
  <si>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</si>
  <si>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</si>
  <si>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</si>
  <si>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</si>
  <si>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</si>
  <si>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</si>
  <si>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</si>
  <si>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</si>
  <si>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</si>
  <si>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</si>
  <si>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</si>
  <si>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</si>
  <si>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</si>
  <si>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</si>
  <si>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</si>
  <si>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</si>
  <si>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</si>
  <si>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</si>
  <si>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</si>
  <si>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</si>
  <si>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</si>
  <si>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</si>
  <si>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</si>
  <si>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</si>
  <si>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</si>
  <si>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</si>
  <si>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</si>
  <si>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</si>
  <si>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</si>
  <si>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</si>
  <si>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</si>
  <si>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</si>
  <si>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</si>
  <si>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</si>
  <si>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</si>
  <si>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</si>
  <si>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</si>
  <si>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</si>
  <si>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</si>
  <si>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</si>
  <si>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</si>
  <si>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</si>
  <si>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</si>
  <si>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</si>
  <si>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</si>
  <si>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</si>
  <si>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</si>
  <si>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</si>
  <si>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</si>
  <si>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</si>
  <si>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</si>
  <si>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</si>
  <si>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</si>
  <si>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</si>
  <si>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</si>
  <si>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</si>
  <si>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</si>
  <si>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</si>
  <si>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</si>
  <si>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</si>
  <si>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</si>
  <si>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</si>
  <si>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</si>
  <si>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</si>
  <si>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</si>
  <si>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</si>
  <si>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</si>
  <si>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</si>
  <si>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</si>
  <si>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</si>
  <si>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</si>
  <si>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</si>
  <si>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</si>
  <si>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</si>
  <si>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</si>
  <si>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</si>
  <si>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</si>
  <si>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</si>
  <si>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</si>
  <si>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</si>
  <si>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</si>
  <si>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</si>
  <si>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</si>
  <si>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</si>
  <si>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</si>
  <si>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</si>
  <si>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</si>
  <si>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</si>
  <si>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</si>
  <si>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</si>
  <si>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</si>
  <si>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</si>
  <si>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</si>
  <si>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</si>
  <si>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</si>
  <si>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</si>
  <si>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</si>
  <si>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</si>
  <si>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</si>
  <si>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</si>
  <si>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</si>
  <si>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</si>
  <si>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</si>
  <si>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</si>
  <si>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</si>
  <si>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</si>
  <si>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</si>
  <si>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</si>
  <si>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</si>
  <si>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</si>
  <si>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</si>
  <si>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</si>
  <si>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</si>
  <si>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</si>
  <si>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</si>
  <si>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</si>
  <si>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</si>
  <si>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</si>
  <si>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</si>
  <si>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</si>
  <si>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</si>
  <si>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</si>
  <si>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</si>
  <si>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</si>
  <si>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</si>
  <si>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</si>
  <si>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</si>
  <si>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</si>
  <si>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</si>
  <si>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</si>
  <si>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</si>
  <si>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</si>
  <si>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</si>
  <si>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</si>
  <si>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</si>
  <si>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</si>
  <si>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</si>
  <si>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</si>
  <si>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</si>
  <si>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</si>
  <si>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</si>
  <si>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</si>
  <si>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</si>
  <si>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</si>
  <si>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</si>
  <si>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</si>
  <si>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</si>
  <si>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</si>
  <si>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</si>
  <si>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</si>
  <si>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</si>
  <si>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</si>
  <si>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</si>
  <si>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</si>
  <si>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</si>
  <si>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</si>
  <si>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</si>
  <si>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</si>
  <si>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</si>
  <si>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</si>
  <si>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</si>
  <si>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</si>
  <si>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</si>
  <si>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</si>
  <si>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</si>
  <si>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</si>
  <si>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</si>
  <si>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</si>
  <si>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</si>
  <si>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</si>
  <si>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</si>
  <si>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</si>
  <si>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</si>
  <si>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</si>
  <si>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</si>
  <si>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</si>
  <si>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</si>
  <si>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</si>
  <si>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</si>
  <si>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</si>
  <si>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</si>
  <si>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</si>
  <si>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</si>
  <si>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</si>
  <si>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</si>
  <si>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</si>
  <si>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</si>
  <si>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</si>
  <si>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</si>
  <si>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</si>
  <si>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</si>
  <si>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</si>
  <si>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</si>
  <si>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</si>
  <si>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</si>
  <si>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</si>
  <si>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</si>
  <si>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</si>
  <si>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</si>
  <si>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</si>
  <si>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</si>
  <si>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</si>
  <si>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</si>
  <si>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</si>
  <si>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</si>
  <si>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</si>
  <si>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</si>
  <si>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</si>
  <si>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</si>
  <si>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</si>
  <si>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</si>
  <si>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</si>
  <si>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</si>
  <si>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</si>
  <si>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</si>
  <si>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</si>
  <si>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</si>
  <si>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</si>
  <si>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</si>
  <si>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</si>
  <si>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</si>
  <si>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</si>
  <si>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</si>
  <si>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</si>
  <si>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</si>
  <si>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</si>
  <si>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</si>
  <si>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</si>
  <si>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</si>
  <si>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</si>
  <si>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</si>
  <si>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</si>
  <si>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</si>
  <si>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</si>
  <si>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</si>
  <si>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</si>
  <si>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</si>
  <si>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</si>
  <si>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</si>
  <si>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</si>
  <si>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</si>
  <si>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</si>
  <si>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</si>
  <si>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</si>
  <si>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</si>
  <si>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</si>
  <si>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</si>
  <si>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</si>
  <si>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</si>
  <si>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</si>
  <si>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</si>
  <si>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</si>
  <si>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</si>
  <si>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</si>
  <si>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</si>
  <si>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</si>
  <si>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</si>
  <si>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</si>
  <si>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</si>
  <si>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</si>
  <si>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</si>
  <si>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</si>
  <si>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</si>
  <si>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</si>
  <si>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</si>
  <si>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</si>
  <si>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</si>
  <si>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</si>
  <si>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</si>
  <si>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</si>
  <si>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</si>
  <si>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</si>
  <si>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</si>
  <si>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</si>
  <si>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</si>
  <si>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</si>
  <si>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</si>
  <si>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</si>
  <si>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</si>
  <si>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</si>
  <si>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</si>
  <si>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</si>
  <si>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</si>
  <si>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</si>
  <si>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</si>
  <si>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</si>
  <si>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</si>
  <si>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</si>
  <si>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</si>
  <si>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</si>
  <si>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</si>
  <si>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</si>
  <si>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</si>
  <si>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</si>
  <si>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</si>
  <si>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</si>
  <si>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</si>
  <si>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</si>
  <si>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</si>
  <si>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</si>
  <si>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</si>
  <si>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</si>
  <si>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</si>
  <si>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</si>
  <si>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</si>
  <si>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</si>
  <si>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</si>
  <si>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</si>
  <si>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</si>
  <si>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</si>
  <si>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</si>
  <si>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</si>
  <si>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</si>
  <si>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</si>
  <si>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</si>
  <si>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</si>
  <si>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</si>
  <si>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</si>
  <si>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</si>
  <si>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</si>
  <si>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</si>
  <si>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</si>
  <si>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</si>
  <si>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</si>
  <si>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</si>
  <si>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</si>
  <si>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</si>
  <si>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</si>
  <si>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</si>
  <si>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</si>
  <si>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</si>
  <si>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</si>
  <si>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</si>
  <si>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</si>
  <si>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</si>
  <si>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</si>
  <si>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</si>
  <si>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</si>
  <si>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</si>
  <si>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</si>
  <si>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</si>
  <si>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</si>
  <si>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</si>
  <si>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</si>
  <si>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</si>
  <si>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</si>
  <si>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</si>
  <si>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</si>
  <si>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</si>
  <si>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</si>
  <si>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</si>
  <si>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</si>
  <si>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</si>
  <si>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</si>
  <si>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</si>
  <si>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</si>
  <si>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</si>
  <si>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</si>
  <si>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</si>
  <si>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</si>
  <si>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</si>
  <si>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</si>
  <si>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</si>
  <si>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</si>
  <si>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</si>
  <si>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</si>
  <si>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</si>
  <si>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</si>
  <si>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</si>
  <si>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</si>
  <si>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</si>
  <si>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</si>
  <si>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</si>
  <si>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</si>
  <si>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</si>
  <si>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</si>
  <si>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</si>
  <si>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</si>
  <si>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</si>
  <si>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</si>
  <si>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</si>
  <si>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</si>
  <si>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</si>
  <si>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</si>
  <si>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</si>
  <si>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</si>
  <si>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</si>
  <si>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</si>
  <si>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</si>
  <si>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</si>
  <si>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</si>
  <si>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</si>
  <si>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</si>
  <si>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</si>
  <si>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</si>
  <si>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</si>
  <si>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</si>
  <si>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</si>
  <si>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</si>
  <si>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</si>
  <si>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</si>
  <si>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</si>
  <si>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</si>
  <si>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</si>
  <si>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</si>
  <si>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</si>
  <si>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</si>
  <si>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</si>
  <si>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</si>
  <si>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</si>
  <si>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</si>
  <si>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</si>
  <si>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</si>
  <si>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</si>
  <si>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</si>
  <si>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</si>
  <si>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</si>
  <si>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</si>
  <si>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</si>
  <si>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</si>
  <si>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</si>
  <si>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</si>
  <si>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</si>
  <si>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</si>
  <si>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</si>
  <si>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</si>
  <si>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</si>
  <si>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</si>
  <si>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</si>
  <si>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</si>
  <si>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</si>
  <si>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</si>
  <si>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</si>
  <si>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</si>
  <si>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</si>
  <si>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</si>
  <si>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</si>
  <si>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</si>
  <si>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</si>
  <si>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</si>
  <si>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</si>
  <si>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</si>
  <si>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</si>
  <si>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</si>
  <si>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</si>
  <si>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</si>
  <si>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</si>
  <si>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</si>
  <si>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</si>
  <si>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</si>
  <si>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</si>
  <si>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</si>
  <si>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</si>
  <si>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</si>
  <si>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</si>
  <si>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</si>
  <si>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</si>
  <si>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</si>
  <si>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</si>
  <si>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</si>
  <si>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</si>
  <si>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</si>
  <si>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</si>
  <si>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</si>
  <si>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</si>
  <si>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</si>
  <si>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</si>
  <si>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</si>
  <si>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</si>
  <si>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</si>
  <si>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</si>
  <si>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</si>
  <si>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</si>
  <si>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</si>
  <si>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</si>
  <si>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</si>
  <si>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</si>
  <si>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</si>
  <si>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</si>
  <si>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</si>
  <si>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</si>
  <si>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</si>
  <si>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</si>
  <si>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</si>
  <si>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</si>
  <si>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</si>
  <si>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</si>
  <si>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</si>
  <si>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</si>
  <si>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</si>
  <si>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</si>
  <si>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</si>
  <si>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</si>
  <si>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</si>
  <si>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</si>
  <si>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</si>
  <si>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</si>
  <si>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</si>
  <si>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</si>
  <si>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</si>
  <si>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</si>
  <si>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</si>
  <si>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</si>
  <si>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</si>
  <si>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</si>
  <si>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</si>
  <si>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</si>
  <si>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</si>
  <si>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</si>
  <si>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</si>
  <si>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</si>
  <si>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</si>
  <si>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</si>
  <si>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</si>
  <si>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</si>
  <si>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</si>
  <si>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</si>
  <si>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</si>
  <si>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</si>
  <si>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</si>
  <si>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</si>
  <si>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</si>
  <si>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</si>
  <si>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</si>
  <si>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</si>
  <si>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</si>
  <si>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</si>
  <si>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</si>
  <si>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</si>
  <si>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</si>
  <si>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</si>
  <si>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</si>
  <si>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</si>
  <si>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</si>
  <si>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</si>
  <si>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</si>
  <si>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</si>
  <si>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</si>
  <si>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</si>
  <si>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</si>
  <si>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</si>
  <si>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</si>
  <si>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</si>
  <si>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</si>
  <si>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</si>
  <si>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</si>
  <si>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</si>
  <si>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</si>
  <si>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</si>
  <si>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</si>
  <si>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</si>
  <si>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</si>
  <si>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</si>
  <si>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</si>
  <si>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</si>
  <si>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</si>
  <si>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</si>
  <si>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</si>
  <si>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</si>
  <si>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</si>
  <si>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</si>
  <si>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</si>
  <si>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</si>
  <si>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</si>
  <si>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</si>
  <si>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</si>
  <si>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</si>
  <si>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</si>
  <si>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</si>
  <si>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</si>
  <si>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</si>
  <si>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</si>
  <si>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</si>
  <si>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</si>
  <si>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</si>
  <si>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</si>
  <si>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</si>
  <si>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</si>
  <si>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</si>
  <si>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</si>
  <si>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</si>
  <si>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</si>
  <si>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</si>
  <si>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</si>
  <si>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</si>
  <si>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</si>
  <si>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</si>
  <si>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</si>
  <si>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</si>
  <si>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</si>
  <si>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</si>
  <si>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</si>
  <si>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</si>
  <si>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</si>
  <si>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</si>
  <si>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</si>
  <si>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</si>
  <si>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</si>
  <si>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</si>
  <si>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</si>
  <si>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</si>
  <si>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</si>
  <si>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</si>
  <si>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</si>
  <si>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</si>
  <si>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</si>
  <si>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</si>
  <si>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</si>
  <si>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</si>
  <si>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</si>
  <si>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</si>
  <si>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</si>
  <si>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</si>
  <si>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</si>
  <si>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</si>
  <si>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</si>
  <si>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</si>
  <si>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</si>
  <si>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</si>
  <si>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</si>
  <si>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</si>
  <si>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</si>
  <si>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</si>
  <si>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</si>
  <si>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</si>
  <si>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</si>
  <si>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</si>
  <si>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</si>
  <si>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</si>
  <si>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</si>
  <si>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</si>
  <si>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</si>
  <si>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</si>
  <si>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</si>
  <si>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</si>
  <si>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</si>
  <si>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</si>
  <si>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</si>
  <si>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</si>
  <si>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</si>
  <si>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</si>
  <si>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</si>
  <si>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</si>
  <si>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</si>
  <si>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</si>
  <si>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</si>
  <si>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</si>
  <si>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</si>
  <si>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</si>
  <si>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</si>
  <si>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</si>
  <si>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</si>
  <si>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</si>
  <si>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</si>
  <si>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</si>
  <si>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</si>
  <si>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</si>
  <si>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</si>
  <si>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</si>
  <si>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</si>
  <si>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</si>
  <si>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</si>
  <si>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</si>
  <si>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</si>
  <si>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</si>
  <si>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</si>
  <si>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</si>
  <si>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</si>
  <si>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</si>
  <si>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</si>
  <si>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</si>
  <si>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</si>
  <si>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</si>
  <si>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</si>
  <si>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</si>
  <si>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</si>
  <si>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</si>
  <si>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</si>
  <si>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</si>
  <si>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</si>
  <si>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</si>
  <si>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</si>
  <si>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</si>
  <si>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</si>
  <si>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</si>
  <si>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</si>
  <si>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</si>
  <si>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</si>
  <si>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</si>
  <si>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</si>
  <si>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</si>
  <si>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</si>
  <si>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</si>
  <si>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</si>
  <si>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</si>
  <si>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</si>
  <si>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</si>
  <si>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</si>
  <si>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</si>
  <si>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</si>
  <si>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</si>
  <si>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</si>
  <si>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</si>
  <si>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</si>
  <si>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</si>
  <si>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</si>
  <si>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</si>
  <si>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</si>
  <si>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</si>
  <si>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</si>
  <si>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</si>
  <si>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</si>
  <si>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</si>
  <si>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</si>
  <si>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</si>
  <si>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</si>
  <si>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</si>
  <si>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</si>
  <si>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</si>
  <si>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</si>
  <si>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</si>
  <si>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</si>
  <si>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</si>
  <si>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</si>
  <si>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</si>
  <si>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</si>
  <si>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</si>
  <si>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</si>
  <si>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</si>
  <si>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</si>
  <si>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</si>
  <si>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</si>
  <si>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</si>
  <si>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</si>
  <si>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</si>
  <si>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</si>
  <si>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</si>
  <si>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</si>
  <si>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</si>
  <si>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</si>
  <si>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</si>
  <si>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</si>
  <si>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</si>
  <si>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</si>
  <si>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</si>
  <si>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</si>
  <si>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</si>
  <si>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</si>
  <si>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</si>
  <si>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</si>
  <si>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</si>
  <si>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</si>
  <si>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</si>
  <si>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</si>
  <si>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</si>
  <si>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</si>
  <si>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</si>
  <si>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</si>
  <si>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</si>
  <si>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</si>
  <si>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</si>
  <si>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</si>
  <si>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</si>
  <si>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</si>
  <si>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</si>
  <si>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</si>
  <si>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</si>
  <si>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</si>
  <si>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</si>
  <si>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</si>
  <si>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</si>
  <si>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</si>
  <si>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</si>
  <si>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</si>
  <si>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</si>
  <si>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</si>
  <si>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</si>
  <si>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</si>
  <si>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</si>
  <si>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</si>
  <si>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</si>
  <si>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</si>
  <si>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</si>
  <si>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</si>
  <si>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</si>
  <si>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</si>
  <si>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</si>
  <si>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</si>
  <si>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</si>
  <si>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</si>
  <si>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</si>
  <si>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</si>
  <si>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</si>
  <si>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</si>
  <si>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</si>
  <si>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</si>
  <si>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</si>
  <si>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</si>
  <si>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</si>
  <si>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</si>
  <si>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</si>
  <si>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</si>
  <si>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</si>
  <si>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</si>
  <si>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</si>
  <si>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</si>
  <si>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</si>
  <si>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</si>
  <si>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</si>
  <si>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</si>
  <si>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</si>
  <si>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</si>
  <si>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</si>
  <si>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</si>
  <si>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</si>
  <si>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</si>
  <si>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</si>
  <si>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</si>
  <si>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</si>
  <si>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</si>
  <si>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</si>
  <si>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</si>
  <si>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</si>
  <si>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</si>
  <si>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</si>
  <si>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</si>
  <si>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</si>
  <si>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</si>
  <si>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</si>
  <si>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</si>
  <si>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</si>
  <si>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</si>
  <si>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</si>
  <si>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</si>
  <si>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</si>
  <si>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</si>
  <si>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</si>
  <si>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</si>
  <si>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</si>
  <si>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</si>
  <si>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</si>
  <si>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</si>
  <si>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</si>
  <si>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</si>
  <si>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</si>
  <si>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</si>
  <si>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</si>
  <si>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</si>
  <si>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</si>
  <si>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</si>
  <si>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</si>
  <si>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</si>
  <si>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</si>
  <si>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</si>
  <si>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</si>
  <si>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</si>
  <si>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</si>
  <si>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</si>
  <si>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</si>
  <si>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</si>
  <si>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</si>
  <si>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</si>
  <si>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</si>
  <si>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</si>
  <si>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</si>
  <si>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</si>
  <si>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</si>
  <si>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</si>
  <si>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</si>
  <si>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</si>
  <si>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</si>
  <si>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</si>
  <si>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</si>
  <si>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</si>
  <si>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</si>
  <si>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</si>
  <si>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</si>
  <si>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</si>
  <si>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</si>
  <si>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</si>
  <si>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</si>
  <si>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</si>
  <si>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</si>
  <si>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</si>
  <si>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</si>
  <si>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</si>
  <si>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</si>
  <si>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</si>
  <si>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</si>
  <si>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</si>
  <si>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</si>
  <si>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</si>
  <si>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</si>
  <si>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</si>
  <si>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</si>
  <si>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</si>
  <si>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</si>
  <si>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</si>
  <si>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</si>
  <si>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</si>
  <si>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</si>
  <si>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</si>
  <si>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</si>
  <si>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</si>
  <si>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</si>
  <si>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</si>
  <si>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</si>
  <si>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</si>
  <si>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</si>
  <si>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</si>
  <si>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</si>
  <si>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</si>
  <si>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</si>
  <si>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</si>
  <si>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</si>
  <si>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</si>
  <si>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</si>
  <si>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</si>
  <si>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</si>
  <si>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</si>
  <si>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</si>
  <si>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</si>
  <si>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</si>
  <si>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</si>
  <si>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</si>
  <si>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</si>
  <si>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</si>
  <si>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</si>
  <si>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</si>
  <si>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</si>
  <si>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</si>
  <si>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</si>
  <si>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</si>
  <si>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</si>
  <si>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</si>
  <si>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</si>
  <si>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</si>
  <si>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</si>
  <si>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</si>
  <si>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</si>
  <si>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</si>
  <si>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</si>
  <si>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</si>
  <si>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</si>
  <si>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</si>
  <si>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</si>
  <si>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</si>
  <si>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</si>
  <si>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</si>
  <si>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</si>
  <si>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</si>
  <si>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</si>
  <si>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</si>
  <si>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</si>
  <si>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</si>
  <si>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</si>
  <si>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</si>
  <si>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</si>
  <si>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</si>
  <si>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</si>
  <si>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</si>
  <si>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</si>
  <si>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</si>
  <si>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</si>
  <si>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</si>
  <si>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</si>
  <si>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</si>
  <si>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</si>
  <si>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</si>
  <si>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</si>
  <si>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</si>
  <si>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</si>
  <si>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</si>
  <si>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</si>
  <si>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</si>
  <si>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</si>
  <si>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</si>
  <si>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</si>
  <si>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</si>
  <si>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</si>
  <si>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</si>
  <si>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</si>
  <si>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</si>
  <si>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</si>
  <si>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</si>
  <si>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</si>
  <si>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</si>
  <si>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</si>
  <si>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</si>
  <si>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</si>
  <si>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</si>
  <si>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</si>
  <si>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</si>
  <si>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</si>
  <si>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</si>
  <si>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</si>
  <si>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</si>
  <si>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</si>
  <si>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</si>
  <si>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</si>
  <si>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</si>
  <si>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</si>
  <si>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</si>
  <si>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</si>
  <si>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</si>
  <si>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</si>
  <si>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</si>
  <si>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</si>
  <si>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</si>
  <si>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</si>
  <si>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</si>
  <si>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</si>
  <si>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</si>
  <si>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</si>
  <si>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</si>
  <si>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</si>
  <si>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</si>
  <si>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</si>
  <si>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</si>
  <si>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</si>
  <si>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</si>
  <si>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</si>
  <si>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</si>
  <si>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</si>
  <si>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</si>
  <si>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</si>
  <si>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</si>
  <si>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</si>
  <si>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</si>
  <si>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</si>
  <si>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</si>
  <si>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</si>
  <si>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</si>
  <si>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</si>
  <si>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</si>
  <si>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</si>
  <si>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</si>
  <si>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</si>
  <si>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</si>
  <si>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</si>
  <si>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</si>
  <si>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</si>
  <si>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</si>
  <si>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</si>
  <si>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</si>
  <si>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</si>
  <si>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</si>
  <si>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</si>
  <si>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</si>
  <si>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</si>
  <si>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</si>
  <si>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</si>
  <si>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</si>
  <si>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</si>
  <si>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</si>
  <si>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</si>
  <si>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</si>
  <si>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</si>
  <si>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</si>
  <si>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</si>
  <si>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</si>
  <si>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</si>
  <si>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</si>
  <si>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</si>
  <si>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</si>
  <si>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</si>
  <si>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</si>
  <si>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</si>
  <si>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</si>
  <si>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</si>
  <si>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</si>
  <si>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</si>
  <si>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</si>
  <si>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</si>
  <si>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</si>
  <si>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</si>
  <si>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</si>
  <si>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</si>
  <si>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</si>
  <si>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</si>
  <si>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</si>
  <si>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</si>
  <si>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</si>
  <si>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</si>
  <si>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</si>
  <si>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</si>
  <si>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</si>
  <si>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</si>
  <si>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</si>
  <si>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</si>
  <si>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</si>
  <si>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</si>
  <si>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</si>
  <si>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</si>
  <si>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</si>
  <si>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</si>
  <si>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</si>
  <si>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</si>
  <si>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</si>
  <si>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</si>
  <si>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</si>
  <si>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</si>
  <si>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</si>
  <si>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</si>
  <si>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</si>
  <si>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</si>
  <si>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</si>
  <si>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</si>
  <si>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</si>
  <si>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</si>
  <si>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</si>
  <si>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</si>
  <si>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</si>
  <si>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</si>
  <si>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</si>
  <si>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</si>
  <si>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</si>
  <si>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</si>
  <si>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</si>
  <si>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</si>
  <si>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</si>
  <si>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</si>
  <si>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</si>
  <si>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</si>
  <si>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</si>
  <si>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</si>
  <si>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</si>
  <si>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</si>
  <si>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</si>
  <si>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</si>
  <si>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</si>
  <si>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</si>
  <si>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</si>
  <si>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</si>
  <si>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</si>
  <si>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</si>
  <si>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</si>
  <si>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</si>
  <si>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</si>
  <si>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</si>
  <si>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</si>
  <si>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</si>
  <si>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</si>
  <si>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</si>
  <si>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</si>
  <si>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</si>
  <si>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</si>
  <si>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</si>
  <si>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</si>
  <si>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</si>
  <si>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</si>
  <si>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</si>
  <si>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</si>
  <si>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</si>
  <si>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</si>
  <si>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</si>
  <si>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</si>
  <si>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</si>
  <si>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</si>
  <si>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</si>
  <si>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</si>
  <si>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</si>
  <si>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</si>
  <si>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</si>
  <si>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</si>
  <si>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</si>
  <si>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</si>
  <si>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</si>
  <si>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</si>
  <si>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</si>
  <si>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</si>
  <si>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</si>
  <si>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</si>
  <si>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</si>
  <si>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</si>
  <si>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</si>
  <si>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</si>
  <si>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</si>
  <si>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</si>
  <si>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</si>
  <si>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</si>
  <si>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</si>
  <si>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</si>
  <si>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</si>
  <si>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</si>
  <si>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</si>
  <si>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</si>
  <si>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</si>
  <si>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</si>
  <si>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</si>
  <si>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</si>
  <si>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</si>
  <si>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</si>
  <si>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</si>
  <si>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</si>
  <si>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</si>
  <si>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</si>
  <si>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</si>
  <si>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</si>
  <si>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</si>
  <si>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</si>
  <si>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</si>
  <si>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</si>
  <si>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</si>
  <si>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</si>
  <si>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</si>
  <si>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</si>
  <si>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</si>
  <si>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</si>
  <si>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</si>
  <si>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</si>
  <si>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</si>
  <si>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</si>
  <si>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</si>
  <si>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</si>
  <si>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</si>
  <si>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</si>
  <si>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</si>
  <si>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</si>
  <si>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</si>
  <si>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</si>
  <si>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</si>
  <si>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</si>
  <si>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</si>
  <si>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</si>
  <si>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</si>
  <si>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</si>
  <si>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</si>
  <si>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</si>
  <si>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</si>
  <si>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</si>
  <si>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</si>
  <si>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</si>
  <si>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</si>
  <si>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</si>
  <si>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</si>
  <si>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</si>
  <si>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</si>
  <si>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</si>
  <si>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</si>
  <si>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</si>
  <si>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</si>
  <si>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</si>
  <si>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</si>
  <si>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</si>
  <si>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</si>
  <si>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</si>
  <si>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</si>
  <si>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</si>
  <si>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</si>
  <si>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</si>
  <si>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</si>
  <si>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</si>
  <si>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</si>
  <si>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</si>
  <si>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</si>
  <si>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</si>
  <si>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</si>
  <si>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</si>
  <si>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</si>
  <si>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</si>
  <si>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</si>
  <si>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</si>
  <si>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</si>
  <si>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</si>
  <si>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</si>
  <si>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</si>
  <si>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</si>
  <si>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</si>
  <si>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</si>
  <si>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</si>
  <si>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</si>
  <si>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</si>
  <si>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</si>
  <si>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</si>
  <si>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</si>
  <si>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</si>
  <si>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</si>
  <si>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</si>
  <si>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</si>
  <si>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</si>
  <si>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</si>
  <si>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</si>
  <si>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</si>
  <si>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</si>
  <si>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</si>
  <si>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</si>
  <si>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</si>
  <si>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</si>
  <si>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</si>
  <si>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</si>
  <si>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</si>
  <si>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</si>
  <si>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</si>
  <si>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</si>
  <si>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</si>
  <si>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</si>
  <si>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</si>
  <si>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</si>
  <si>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</si>
  <si>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</si>
  <si>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</si>
  <si>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</si>
  <si>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</si>
  <si>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</si>
  <si>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</si>
  <si>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</si>
  <si>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</si>
  <si>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</si>
  <si>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</si>
  <si>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</si>
  <si>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</si>
  <si>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</si>
  <si>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</si>
  <si>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</si>
  <si>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</si>
  <si>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</si>
  <si>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</si>
  <si>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</si>
  <si>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</si>
  <si>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</si>
  <si>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</si>
  <si>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</si>
  <si>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</si>
  <si>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</si>
  <si>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</si>
  <si>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</si>
  <si>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</si>
  <si>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</si>
  <si>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</si>
  <si>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</si>
  <si>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</si>
  <si>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</si>
  <si>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</si>
  <si>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</si>
  <si>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</si>
  <si>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</si>
  <si>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</si>
  <si>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</si>
  <si>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</si>
  <si>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</si>
  <si>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</si>
  <si>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</si>
  <si>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</si>
  <si>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</si>
  <si>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</si>
  <si>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</si>
  <si>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</si>
  <si>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</si>
  <si>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</si>
  <si>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</si>
  <si>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</si>
  <si>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</si>
  <si>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</si>
  <si>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</si>
  <si>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</si>
  <si>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</si>
  <si>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</si>
  <si>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</si>
  <si>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</si>
  <si>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</si>
  <si>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</si>
  <si>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</si>
  <si>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</si>
  <si>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</si>
  <si>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</si>
  <si>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</si>
  <si>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</si>
  <si>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</si>
  <si>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</si>
  <si>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</si>
  <si>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</si>
  <si>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</si>
  <si>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</si>
  <si>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</si>
  <si>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</si>
  <si>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</si>
  <si>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</si>
  <si>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</si>
  <si>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</si>
  <si>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</si>
  <si>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</si>
  <si>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</si>
  <si>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</si>
  <si>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</si>
  <si>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</si>
  <si>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</si>
  <si>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</si>
  <si>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</si>
  <si>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</si>
  <si>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</si>
  <si>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</si>
  <si>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</si>
  <si>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</si>
  <si>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</si>
  <si>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</si>
  <si>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</si>
  <si>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</si>
  <si>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</si>
  <si>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</si>
  <si>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</si>
  <si>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</si>
  <si>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</si>
  <si>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</si>
  <si>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</si>
  <si>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</si>
  <si>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</si>
  <si>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</si>
  <si>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</si>
  <si>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</si>
  <si>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</si>
  <si>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</si>
  <si>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</si>
  <si>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</si>
  <si>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</si>
  <si>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</si>
  <si>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</si>
  <si>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</si>
  <si>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</si>
  <si>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</si>
  <si>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</si>
  <si>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</si>
  <si>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</si>
  <si>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</si>
  <si>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</si>
  <si>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</si>
  <si>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</si>
  <si>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</si>
  <si>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</si>
  <si>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</si>
  <si>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</si>
  <si>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</si>
  <si>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</si>
  <si>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</si>
  <si>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</si>
  <si>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</si>
  <si>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</si>
  <si>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</si>
  <si>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</si>
  <si>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</si>
  <si>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</si>
  <si>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</si>
  <si>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</si>
  <si>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</si>
  <si>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</si>
  <si>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</si>
  <si>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</si>
  <si>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</si>
  <si>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</si>
  <si>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</si>
  <si>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</si>
  <si>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</si>
  <si>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</si>
  <si>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</si>
  <si>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</si>
  <si>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</si>
  <si>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</si>
  <si>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</si>
  <si>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</si>
  <si>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</si>
  <si>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</si>
  <si>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</si>
  <si>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</si>
  <si>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</si>
  <si>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</si>
  <si>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</si>
  <si>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</si>
  <si>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</si>
  <si>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</si>
  <si>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</si>
  <si>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</si>
  <si>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</si>
  <si>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</si>
  <si>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</si>
  <si>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</si>
  <si>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</si>
  <si>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</si>
  <si>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</si>
  <si>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</si>
  <si>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</si>
  <si>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</si>
  <si>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</si>
  <si>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</si>
  <si>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</si>
  <si>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</si>
  <si>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</si>
  <si>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</si>
  <si>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</si>
  <si>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</si>
  <si>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</si>
  <si>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</si>
  <si>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</si>
  <si>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</si>
  <si>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</si>
  <si>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</si>
  <si>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</si>
  <si>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</si>
  <si>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</si>
  <si>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</si>
  <si>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</si>
  <si>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</si>
  <si>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</si>
  <si>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</si>
  <si>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</si>
  <si>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</si>
  <si>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</si>
  <si>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</si>
  <si>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</si>
  <si>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</si>
  <si>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</si>
  <si>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</si>
  <si>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</si>
  <si>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</si>
  <si>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</si>
  <si>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</si>
  <si>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</si>
  <si>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</si>
  <si>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</si>
  <si>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</si>
  <si>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</si>
  <si>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</si>
  <si>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</si>
  <si>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</si>
  <si>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</si>
  <si>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</si>
  <si>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</si>
  <si>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</si>
  <si>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</si>
  <si>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</si>
  <si>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</si>
  <si>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</si>
  <si>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</si>
  <si>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</si>
  <si>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</si>
  <si>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</si>
  <si>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</si>
  <si>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</si>
  <si>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</si>
  <si>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</si>
  <si>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</si>
  <si>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</si>
  <si>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</si>
  <si>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</si>
  <si>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</si>
  <si>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</si>
  <si>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</si>
  <si>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</si>
  <si>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</si>
  <si>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</si>
  <si>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</si>
  <si>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</si>
  <si>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</si>
  <si>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</si>
  <si>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</si>
  <si>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</si>
  <si>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</si>
  <si>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</si>
  <si>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</si>
  <si>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</si>
  <si>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</si>
  <si>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</si>
  <si>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</si>
  <si>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</si>
  <si>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</si>
  <si>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</si>
  <si>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</si>
  <si>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</si>
  <si>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</si>
  <si>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</si>
  <si>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</si>
  <si>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</si>
  <si>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</si>
  <si>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</si>
  <si>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</si>
  <si>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</si>
  <si>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</si>
  <si>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</si>
  <si>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</si>
  <si>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</si>
  <si>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</si>
  <si>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</si>
  <si>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</si>
  <si>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</si>
  <si>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</si>
  <si>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</si>
  <si>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</si>
  <si>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</si>
  <si>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</si>
  <si>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</si>
  <si>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</si>
  <si>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</si>
  <si>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</si>
  <si>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</si>
  <si>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</si>
  <si>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</si>
  <si>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</si>
  <si>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</si>
  <si>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</si>
  <si>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</si>
  <si>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</si>
  <si>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</si>
  <si>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</si>
  <si>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</si>
  <si>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</si>
  <si>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</si>
  <si>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</si>
  <si>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</si>
  <si>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</si>
  <si>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</si>
  <si>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</si>
  <si>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</si>
  <si>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</si>
  <si>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</si>
  <si>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</si>
  <si>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</si>
  <si>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</si>
  <si>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</si>
  <si>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</si>
  <si>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</si>
  <si>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</si>
  <si>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</si>
  <si>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</si>
  <si>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</si>
  <si>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</si>
  <si>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</si>
  <si>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</si>
  <si>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</si>
  <si>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</si>
  <si>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</si>
  <si>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</si>
  <si>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</si>
  <si>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</si>
  <si>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</si>
  <si>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</si>
  <si>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</si>
  <si>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</si>
  <si>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</si>
  <si>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</si>
  <si>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</si>
  <si>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</si>
  <si>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</si>
  <si>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</si>
  <si>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</si>
  <si>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</si>
  <si>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</si>
  <si>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</si>
  <si>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</si>
  <si>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</si>
  <si>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</si>
  <si>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</si>
  <si>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</si>
  <si>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</si>
  <si>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</si>
  <si>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</si>
  <si>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</si>
  <si>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</si>
  <si>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</si>
  <si>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</si>
  <si>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</si>
  <si>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</si>
  <si>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</si>
  <si>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</si>
  <si>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</si>
  <si>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</si>
  <si>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</si>
  <si>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</si>
  <si>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</si>
  <si>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</si>
  <si>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</si>
  <si>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</si>
  <si>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</si>
  <si>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</si>
  <si>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</si>
  <si>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</si>
  <si>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</si>
  <si>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</si>
  <si>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</si>
  <si>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</si>
  <si>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</si>
  <si>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</si>
  <si>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</si>
  <si>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</si>
  <si>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</si>
  <si>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</si>
  <si>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</si>
  <si>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</si>
  <si>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</si>
  <si>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</si>
  <si>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</si>
  <si>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</si>
  <si>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</si>
  <si>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</si>
  <si>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</si>
  <si>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</si>
  <si>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</si>
  <si>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</si>
  <si>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</si>
  <si>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</si>
  <si>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</si>
  <si>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</si>
  <si>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</si>
  <si>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</si>
  <si>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</si>
  <si>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</si>
  <si>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</si>
  <si>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</si>
  <si>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</si>
  <si>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</si>
  <si>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</si>
  <si>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</si>
  <si>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</si>
  <si>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</si>
  <si>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</si>
  <si>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</si>
  <si>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</si>
  <si>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</si>
  <si>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</si>
  <si>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</si>
  <si>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</si>
  <si>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</si>
  <si>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</si>
  <si>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</si>
  <si>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</si>
  <si>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</si>
  <si>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</si>
  <si>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</si>
  <si>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</si>
  <si>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</si>
  <si>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</si>
  <si>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</si>
  <si>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</si>
  <si>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</si>
  <si>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</si>
  <si>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</si>
  <si>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</si>
  <si>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</si>
  <si>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</si>
  <si>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</si>
  <si>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</si>
  <si>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</si>
  <si>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</si>
  <si>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</si>
  <si>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</si>
  <si>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</si>
  <si>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</si>
  <si>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</si>
  <si>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</si>
  <si>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</si>
  <si>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</si>
  <si>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</si>
  <si>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</si>
  <si>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</si>
  <si>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</si>
  <si>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</si>
  <si>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</si>
  <si>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</si>
  <si>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</si>
  <si>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</si>
  <si>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</si>
  <si>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</si>
  <si>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</si>
  <si>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</si>
  <si>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</si>
  <si>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</si>
  <si>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</si>
  <si>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</si>
  <si>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</si>
  <si>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</si>
  <si>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</si>
  <si>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</si>
  <si>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</si>
  <si>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</si>
  <si>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</si>
  <si>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</si>
  <si>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</si>
  <si>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</si>
  <si>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</si>
  <si>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</si>
  <si>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</si>
  <si>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</si>
  <si>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</si>
  <si>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</si>
  <si>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</si>
  <si>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</si>
  <si>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</si>
  <si>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</si>
  <si>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</si>
  <si>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</si>
  <si>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</si>
  <si>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</si>
  <si>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</si>
  <si>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</si>
  <si>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</si>
  <si>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</si>
  <si>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</si>
  <si>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</si>
  <si>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</si>
  <si>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</si>
  <si>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</si>
  <si>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</si>
  <si>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</si>
  <si>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</si>
  <si>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</si>
  <si>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</si>
  <si>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</si>
  <si>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</si>
  <si>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</si>
  <si>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</si>
  <si>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</si>
  <si>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</si>
  <si>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</si>
  <si>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</si>
  <si>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</si>
  <si>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</si>
  <si>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</si>
  <si>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</si>
  <si>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</si>
  <si>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</si>
  <si>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</si>
  <si>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</si>
  <si>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</si>
  <si>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</si>
  <si>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</si>
  <si>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</si>
  <si>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</si>
  <si>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</si>
  <si>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</si>
  <si>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</si>
  <si>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</si>
  <si>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</si>
  <si>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</si>
  <si>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</si>
  <si>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</si>
  <si>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</si>
  <si>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</si>
  <si>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</si>
  <si>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</si>
  <si>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</si>
  <si>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</si>
  <si>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</si>
  <si>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</si>
  <si>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</si>
  <si>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</si>
  <si>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</si>
  <si>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</si>
  <si>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</si>
  <si>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</si>
  <si>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</si>
  <si>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</si>
  <si>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</si>
  <si>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</si>
  <si>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</si>
  <si>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</si>
  <si>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</si>
  <si>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</si>
  <si>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</si>
  <si>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</si>
  <si>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</si>
  <si>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</si>
  <si>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</si>
  <si>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</si>
  <si>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</si>
  <si>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</si>
  <si>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</si>
  <si>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</si>
  <si>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</si>
  <si>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</si>
  <si>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</si>
  <si>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</si>
  <si>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</si>
  <si>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</si>
  <si>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</si>
  <si>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</si>
  <si>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</si>
  <si>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</si>
  <si>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</si>
  <si>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</si>
  <si>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</si>
  <si>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</si>
  <si>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</si>
  <si>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</si>
  <si>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</si>
  <si>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</si>
  <si>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</si>
  <si>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</si>
  <si>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</si>
  <si>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</si>
  <si>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</si>
  <si>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</si>
  <si>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</si>
  <si>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</si>
  <si>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</si>
  <si>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</si>
  <si>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</si>
  <si>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</si>
  <si>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</si>
  <si>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</si>
  <si>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</si>
  <si>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</si>
  <si>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</si>
  <si>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</si>
  <si>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</si>
  <si>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</si>
  <si>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</si>
  <si>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</si>
  <si>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</si>
  <si>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</si>
  <si>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</si>
  <si>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</si>
  <si>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</si>
  <si>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</si>
  <si>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</si>
  <si>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</si>
  <si>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</si>
  <si>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</si>
  <si>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</si>
  <si>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</si>
  <si>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</si>
  <si>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</si>
  <si>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</si>
  <si>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</si>
  <si>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</si>
  <si>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</si>
  <si>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</si>
  <si>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</si>
  <si>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</si>
  <si>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</si>
  <si>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</si>
  <si>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</si>
  <si>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</si>
  <si>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</si>
  <si>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</si>
  <si>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</si>
  <si>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</si>
  <si>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</si>
  <si>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</si>
  <si>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</si>
  <si>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</si>
  <si>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</si>
  <si>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</si>
  <si>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</si>
  <si>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</si>
  <si>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</si>
  <si>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</si>
  <si>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</si>
  <si>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</si>
  <si>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</si>
  <si>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</si>
  <si>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</si>
  <si>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</si>
  <si>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</si>
  <si>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</si>
  <si>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</si>
  <si>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</si>
  <si>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</si>
  <si>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</si>
  <si>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</si>
  <si>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</si>
  <si>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</si>
  <si>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</si>
  <si>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</si>
  <si>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</si>
  <si>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</si>
  <si>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</si>
  <si>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</si>
  <si>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</si>
  <si>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</si>
  <si>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</si>
  <si>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</si>
  <si>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</si>
  <si>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</si>
  <si>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</si>
  <si>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</si>
  <si>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</si>
  <si>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</si>
  <si>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</si>
  <si>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</si>
  <si>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</si>
  <si>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</si>
  <si>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</si>
  <si>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</si>
  <si>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</si>
  <si>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</si>
  <si>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</si>
  <si>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</si>
  <si>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</si>
  <si>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</si>
  <si>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</si>
  <si>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</si>
  <si>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</si>
  <si>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</si>
  <si>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</si>
  <si>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</si>
  <si>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</si>
  <si>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</si>
  <si>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</si>
  <si>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</si>
  <si>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</si>
  <si>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</si>
  <si>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</si>
  <si>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</si>
  <si>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</si>
  <si>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</si>
  <si>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</si>
  <si>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</si>
  <si>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</si>
  <si>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</si>
  <si>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</si>
  <si>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</si>
  <si>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</si>
  <si>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</si>
  <si>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</si>
  <si>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</si>
  <si>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</si>
  <si>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</si>
  <si>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</si>
  <si>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</si>
  <si>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</si>
  <si>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</si>
  <si>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</si>
  <si>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</si>
  <si>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</si>
  <si>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</si>
  <si>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</si>
  <si>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</si>
  <si>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</si>
  <si>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</si>
  <si>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</si>
  <si>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</si>
  <si>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</si>
  <si>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</si>
  <si>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</si>
  <si>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</si>
  <si>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</si>
  <si>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</si>
  <si>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</si>
  <si>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</si>
  <si>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</si>
  <si>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</si>
  <si>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</si>
  <si>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</si>
  <si>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</si>
  <si>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</si>
  <si>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</si>
  <si>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</si>
  <si>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</si>
  <si>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</si>
  <si>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</si>
  <si>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</si>
  <si>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</si>
  <si>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</si>
  <si>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</si>
  <si>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</si>
  <si>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</si>
  <si>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</si>
  <si>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</si>
  <si>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</si>
  <si>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</si>
  <si>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</si>
  <si>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</si>
  <si>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</si>
  <si>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</si>
  <si>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</si>
  <si>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</si>
  <si>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</si>
  <si>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</si>
  <si>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</si>
  <si>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</si>
  <si>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</si>
  <si>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</si>
  <si>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</si>
  <si>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</si>
  <si>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</si>
  <si>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</si>
  <si>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</si>
  <si>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</si>
  <si>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</si>
  <si>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</si>
  <si>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</si>
  <si>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</si>
  <si>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</si>
  <si>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</si>
  <si>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</si>
  <si>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</si>
  <si>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</si>
  <si>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</si>
  <si>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</si>
  <si>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</si>
  <si>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</si>
  <si>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</si>
  <si>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</si>
  <si>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</si>
  <si>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</si>
  <si>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</si>
  <si>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</si>
  <si>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</si>
  <si>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</si>
  <si>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</si>
  <si>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</si>
  <si>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</si>
  <si>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</si>
  <si>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</si>
  <si>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</si>
  <si>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</si>
  <si>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</si>
  <si>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</si>
  <si>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</si>
  <si>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</si>
  <si>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</si>
  <si>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</si>
  <si>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</si>
  <si>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</si>
  <si>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</si>
  <si>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</si>
  <si>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</si>
  <si>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</si>
  <si>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</si>
  <si>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</si>
  <si>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</si>
  <si>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</si>
  <si>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</si>
  <si>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</si>
  <si>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</si>
  <si>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</si>
  <si>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</si>
  <si>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</si>
  <si>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</si>
  <si>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</si>
  <si>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</si>
  <si>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</si>
  <si>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</si>
  <si>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</si>
  <si>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</si>
  <si>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</si>
  <si>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</si>
  <si>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</si>
  <si>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</si>
  <si>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</si>
  <si>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</si>
  <si>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</si>
  <si>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</si>
  <si>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</si>
  <si>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</si>
  <si>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</si>
  <si>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</si>
  <si>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</si>
  <si>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</si>
  <si>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</si>
  <si>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</si>
  <si>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</si>
  <si>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</si>
  <si>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</si>
  <si>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</si>
  <si>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</si>
  <si>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</si>
  <si>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</si>
  <si>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</si>
  <si>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</si>
  <si>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</si>
  <si>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</si>
  <si>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</si>
  <si>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</si>
  <si>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</si>
  <si>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</si>
  <si>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</si>
  <si>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</si>
  <si>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</si>
  <si>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</si>
  <si>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</si>
  <si>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</si>
  <si>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</si>
  <si>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</si>
  <si>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</si>
  <si>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</si>
  <si>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</si>
  <si>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</si>
  <si>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</si>
  <si>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</si>
  <si>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</si>
  <si>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</si>
  <si>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</si>
  <si>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</si>
  <si>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</si>
  <si>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</si>
  <si>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</si>
  <si>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</si>
  <si>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</si>
  <si>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</si>
  <si>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</si>
  <si>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</si>
  <si>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</si>
  <si>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</si>
  <si>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</si>
  <si>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</si>
  <si>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</si>
  <si>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</si>
  <si>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</si>
  <si>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</si>
  <si>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</si>
  <si>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</si>
  <si>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</si>
  <si>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</si>
  <si>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</si>
  <si>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</si>
  <si>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</si>
  <si>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</si>
  <si>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</si>
  <si>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</si>
  <si>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</si>
  <si>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</si>
  <si>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</si>
  <si>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</si>
  <si>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</si>
  <si>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</si>
  <si>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</si>
  <si>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</si>
  <si>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</si>
  <si>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</si>
  <si>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</si>
  <si>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</si>
  <si>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</si>
  <si>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</si>
  <si>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</si>
  <si>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</si>
  <si>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</si>
  <si>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</si>
  <si>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</si>
  <si>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</si>
  <si>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</si>
  <si>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</si>
  <si>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</si>
  <si>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</si>
  <si>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</si>
  <si>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</si>
  <si>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</si>
  <si>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</si>
  <si>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</si>
  <si>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</si>
  <si>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</si>
  <si>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</si>
  <si>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</si>
  <si>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</si>
  <si>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</si>
  <si>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</si>
  <si>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</si>
  <si>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</si>
  <si>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</si>
  <si>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</si>
  <si>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</si>
  <si>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</si>
  <si>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</si>
  <si>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</si>
  <si>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</si>
  <si>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</si>
  <si>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</si>
  <si>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</si>
  <si>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</si>
  <si>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</si>
  <si>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</si>
  <si>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</si>
  <si>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</si>
  <si>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</si>
  <si>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</si>
  <si>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</si>
  <si>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</si>
  <si>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</si>
  <si>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</si>
  <si>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</si>
  <si>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</si>
  <si>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</si>
  <si>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</si>
  <si>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</si>
  <si>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</si>
  <si>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</si>
  <si>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</si>
  <si>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</si>
  <si>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</si>
  <si>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</si>
  <si>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</si>
  <si>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</si>
  <si>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</si>
  <si>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</si>
  <si>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</si>
  <si>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</si>
  <si>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</si>
  <si>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</si>
  <si>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</si>
  <si>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</si>
  <si>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</si>
  <si>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</si>
  <si>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</si>
  <si>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</si>
  <si>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</si>
  <si>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</si>
  <si>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</si>
  <si>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</si>
  <si>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</si>
  <si>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</si>
  <si>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</si>
  <si>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</si>
  <si>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</si>
  <si>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</si>
  <si>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</si>
  <si>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</si>
  <si>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</si>
  <si>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</si>
  <si>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</si>
  <si>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</si>
  <si>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</si>
  <si>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</si>
  <si>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</si>
  <si>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</si>
  <si>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</si>
  <si>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</si>
  <si>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</si>
  <si>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</si>
  <si>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</si>
  <si>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</si>
  <si>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</si>
  <si>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</si>
  <si>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</si>
  <si>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</si>
  <si>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</si>
  <si>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</si>
  <si>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</si>
  <si>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</si>
  <si>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</si>
  <si>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</si>
  <si>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</si>
  <si>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</si>
  <si>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</si>
  <si>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</si>
  <si>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</si>
  <si>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</si>
  <si>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</si>
  <si>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</si>
  <si>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</si>
  <si>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</si>
  <si>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</si>
  <si>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</si>
  <si>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</si>
  <si>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</si>
  <si>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</si>
  <si>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</si>
  <si>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</si>
  <si>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</si>
  <si>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</si>
  <si>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</si>
  <si>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</si>
  <si>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</si>
  <si>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</si>
  <si>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</si>
  <si>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</si>
  <si>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</si>
  <si>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</si>
  <si>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</si>
  <si>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</si>
  <si>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</si>
  <si>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</si>
  <si>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</si>
  <si>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</si>
  <si>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</si>
  <si>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</si>
  <si>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</si>
  <si>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</si>
  <si>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</si>
  <si>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</si>
  <si>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</si>
  <si>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</si>
  <si>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</si>
  <si>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</si>
  <si>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</si>
  <si>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</si>
  <si>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</si>
  <si>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</si>
  <si>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</si>
  <si>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</si>
  <si>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</si>
  <si>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</si>
  <si>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</si>
  <si>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</si>
  <si>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</si>
  <si>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</si>
  <si>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</si>
  <si>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</si>
  <si>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</si>
  <si>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</si>
  <si>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</si>
  <si>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</si>
  <si>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</si>
  <si>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</si>
  <si>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</si>
  <si>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</si>
  <si>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</si>
  <si>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</si>
  <si>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</si>
  <si>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</si>
  <si>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</si>
  <si>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</si>
  <si>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</si>
  <si>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</si>
  <si>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</si>
  <si>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</si>
  <si>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</si>
  <si>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</si>
  <si>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</si>
  <si>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</si>
  <si>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</si>
  <si>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</si>
  <si>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</si>
  <si>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</si>
  <si>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</si>
  <si>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</si>
  <si>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</si>
  <si>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</si>
  <si>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</si>
  <si>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</si>
  <si>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</si>
  <si>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</si>
  <si>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</si>
  <si>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</si>
  <si>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</si>
  <si>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</si>
  <si>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</si>
  <si>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</si>
  <si>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</si>
  <si>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</si>
  <si>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</si>
  <si>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</si>
  <si>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</si>
  <si>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</si>
  <si>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</si>
  <si>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</si>
  <si>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</si>
  <si>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</si>
  <si>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</si>
  <si>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</si>
  <si>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</si>
  <si>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</si>
  <si>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</si>
  <si>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</si>
  <si>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</si>
  <si>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</si>
  <si>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</si>
  <si>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</si>
  <si>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</si>
  <si>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</si>
  <si>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</si>
  <si>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</si>
  <si>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</si>
  <si>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</si>
  <si>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</si>
  <si>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</si>
  <si>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</si>
  <si>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</si>
  <si>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</si>
  <si>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</si>
  <si>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</si>
  <si>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</si>
  <si>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</si>
  <si>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</si>
  <si>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</si>
  <si>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</si>
  <si>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</si>
  <si>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</si>
  <si>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</si>
  <si>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</si>
  <si>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</si>
  <si>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</si>
  <si>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</si>
  <si>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</si>
  <si>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</si>
  <si>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</si>
  <si>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</si>
  <si>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</si>
  <si>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</si>
  <si>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</si>
  <si>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</si>
  <si>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</si>
  <si>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</si>
  <si>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</si>
  <si>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</si>
  <si>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</si>
  <si>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</si>
  <si>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</si>
  <si>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</si>
  <si>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</si>
  <si>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</si>
  <si>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</si>
  <si>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</si>
  <si>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</si>
  <si>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</si>
  <si>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</si>
  <si>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</si>
  <si>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</si>
  <si>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</si>
  <si>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</si>
  <si>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</si>
  <si>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</si>
  <si>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</si>
  <si>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</si>
  <si>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</si>
  <si>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</si>
  <si>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</si>
  <si>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</si>
  <si>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</si>
  <si>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</si>
  <si>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</si>
  <si>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</si>
  <si>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</si>
  <si>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</si>
  <si>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</si>
  <si>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</si>
  <si>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</si>
  <si>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</si>
  <si>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</si>
  <si>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</si>
  <si>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</si>
  <si>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</si>
  <si>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</si>
  <si>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</si>
  <si>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</si>
  <si>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</si>
  <si>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</si>
  <si>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</si>
  <si>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</si>
  <si>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</si>
  <si>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</si>
  <si>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</si>
  <si>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</si>
  <si>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</si>
  <si>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</si>
  <si>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</si>
  <si>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</si>
  <si>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</si>
  <si>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</si>
  <si>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</si>
  <si>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</si>
  <si>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</si>
  <si>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</si>
  <si>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</si>
  <si>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</si>
  <si>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</si>
  <si>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</si>
  <si>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</si>
  <si>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</si>
  <si>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</si>
  <si>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</si>
  <si>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</si>
  <si>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</si>
  <si>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</si>
  <si>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</si>
  <si>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</si>
  <si>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</si>
  <si>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</si>
  <si>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</si>
  <si>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</si>
  <si>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</si>
  <si>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</si>
  <si>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</si>
  <si>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</si>
  <si>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</si>
  <si>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</si>
  <si>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</si>
  <si>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</si>
  <si>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</si>
  <si>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</si>
  <si>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</si>
  <si>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</si>
  <si>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</si>
  <si>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</si>
  <si>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</si>
  <si>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</si>
  <si>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</si>
  <si>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</si>
  <si>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</si>
  <si>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</si>
  <si>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</si>
  <si>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</si>
  <si>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</si>
  <si>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</si>
  <si>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</si>
  <si>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</si>
  <si>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</si>
  <si>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</si>
  <si>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</si>
  <si>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</si>
  <si>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</si>
  <si>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</si>
  <si>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</si>
  <si>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</si>
  <si>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</si>
  <si>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</si>
  <si>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</si>
  <si>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</si>
  <si>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</si>
  <si>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</si>
  <si>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</si>
  <si>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</si>
  <si>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</si>
  <si>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</si>
  <si>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</si>
  <si>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</si>
  <si>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</si>
  <si>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</si>
  <si>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</si>
  <si>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</si>
  <si>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</si>
  <si>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</si>
  <si>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</si>
  <si>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</si>
  <si>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</si>
  <si>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</si>
  <si>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</si>
  <si>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</si>
  <si>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</si>
  <si>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</si>
  <si>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</si>
  <si>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</si>
  <si>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</si>
  <si>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</si>
  <si>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</si>
  <si>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</si>
  <si>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</si>
  <si>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</si>
  <si>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</si>
  <si>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</si>
  <si>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</si>
  <si>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</si>
  <si>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</si>
  <si>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</si>
  <si>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</si>
  <si>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</si>
  <si>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</si>
  <si>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</si>
  <si>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</si>
  <si>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</si>
  <si>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</si>
  <si>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</si>
  <si>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</si>
  <si>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</si>
  <si>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</si>
  <si>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</si>
  <si>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</si>
  <si>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</si>
  <si>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</si>
  <si>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</si>
  <si>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</si>
  <si>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</si>
  <si>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</si>
  <si>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</si>
  <si>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</si>
  <si>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</si>
  <si>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</si>
  <si>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</si>
  <si>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</si>
  <si>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</si>
  <si>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</si>
  <si>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</si>
  <si>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</si>
  <si>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</si>
  <si>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</si>
  <si>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</si>
  <si>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</si>
  <si>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</si>
  <si>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</si>
  <si>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</si>
  <si>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</si>
  <si>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</si>
  <si>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</si>
  <si>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</si>
  <si>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</si>
  <si>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</si>
  <si>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</si>
  <si>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</si>
  <si>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</si>
  <si>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</si>
  <si>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</si>
  <si>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</si>
  <si>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</si>
  <si>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</si>
  <si>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</si>
  <si>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</si>
  <si>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</si>
  <si>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</si>
  <si>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</si>
  <si>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</si>
  <si>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</si>
  <si>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</si>
  <si>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</si>
  <si>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</si>
  <si>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</si>
  <si>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</si>
  <si>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</si>
  <si>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</si>
  <si>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</si>
  <si>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</si>
  <si>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</si>
  <si>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</si>
  <si>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</si>
  <si>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</si>
  <si>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</si>
  <si>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</si>
  <si>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</si>
  <si>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</si>
  <si>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</si>
  <si>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</si>
  <si>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</si>
  <si>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</si>
  <si>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</si>
  <si>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</si>
  <si>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</si>
  <si>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</si>
  <si>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</si>
  <si>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</si>
  <si>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</si>
  <si>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</si>
  <si>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</si>
  <si>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</si>
  <si>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</si>
  <si>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</si>
  <si>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</si>
  <si>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</si>
  <si>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</si>
  <si>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</si>
  <si>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</si>
  <si>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</si>
  <si>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</si>
  <si>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</si>
  <si>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</si>
  <si>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</si>
  <si>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</si>
  <si>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</si>
  <si>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</si>
  <si>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</si>
  <si>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</si>
  <si>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</si>
  <si>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</si>
  <si>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</si>
  <si>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</si>
  <si>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</si>
  <si>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</si>
  <si>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</si>
  <si>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</si>
  <si>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</si>
  <si>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</si>
  <si>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</si>
  <si>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</si>
  <si>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</si>
  <si>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</si>
  <si>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</si>
  <si>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</si>
  <si>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</si>
  <si>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</si>
  <si>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</si>
  <si>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</si>
  <si>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</si>
  <si>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</si>
  <si>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</si>
  <si>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</si>
  <si>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</si>
  <si>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</si>
  <si>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</si>
  <si>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</si>
  <si>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</si>
  <si>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</si>
  <si>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</si>
  <si>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</si>
  <si>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</si>
  <si>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</si>
  <si>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</si>
  <si>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</si>
  <si>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</si>
  <si>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</si>
  <si>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</si>
  <si>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</si>
  <si>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</si>
  <si>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</si>
  <si>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</si>
  <si>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</si>
  <si>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</si>
  <si>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</si>
  <si>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</si>
  <si>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</si>
  <si>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</si>
  <si>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</si>
  <si>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</si>
  <si>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</si>
  <si>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</si>
  <si>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</si>
  <si>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</si>
  <si>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</si>
  <si>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</si>
  <si>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</si>
  <si>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</si>
  <si>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</si>
  <si>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</si>
  <si>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</si>
  <si>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</si>
  <si>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</si>
  <si>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</si>
  <si>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</si>
  <si>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</si>
  <si>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</si>
  <si>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</si>
  <si>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</si>
  <si>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</si>
  <si>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</si>
  <si>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</si>
  <si>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</si>
  <si>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</si>
  <si>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</si>
  <si>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</si>
  <si>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</si>
  <si>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</si>
  <si>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</si>
  <si>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</si>
  <si>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</si>
  <si>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</si>
  <si>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</si>
  <si>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</si>
  <si>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</si>
  <si>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</si>
  <si>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</si>
  <si>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</si>
  <si>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</si>
  <si>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</si>
  <si>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</si>
  <si>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</si>
  <si>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</si>
  <si>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</si>
  <si>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</si>
  <si>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</si>
  <si>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</si>
  <si>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</si>
  <si>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</si>
  <si>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</si>
  <si>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</si>
  <si>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</si>
  <si>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</si>
  <si>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</si>
  <si>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</si>
  <si>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</si>
  <si>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</si>
  <si>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</si>
  <si>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</si>
  <si>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</si>
  <si>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</si>
  <si>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</si>
  <si>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</si>
  <si>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</si>
  <si>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</si>
  <si>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</si>
  <si>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</si>
  <si>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</si>
  <si>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</si>
  <si>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</si>
  <si>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</si>
  <si>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</si>
  <si>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</si>
  <si>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</si>
  <si>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</si>
  <si>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</si>
  <si>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</si>
  <si>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</si>
  <si>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</si>
  <si>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</si>
  <si>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</si>
  <si>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</si>
  <si>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</si>
  <si>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</si>
  <si>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</si>
  <si>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</si>
  <si>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</si>
  <si>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</si>
  <si>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</si>
  <si>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</si>
  <si>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</si>
  <si>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</si>
  <si>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</si>
  <si>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</si>
  <si>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</si>
  <si>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</si>
  <si>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</si>
  <si>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</si>
  <si>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</si>
  <si>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</si>
  <si>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</si>
  <si>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</si>
  <si>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</si>
  <si>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</si>
  <si>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</si>
  <si>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</si>
  <si>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</si>
  <si>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</si>
  <si>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</si>
  <si>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</si>
  <si>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</si>
  <si>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</si>
  <si>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</si>
  <si>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</si>
  <si>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</si>
  <si>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</si>
  <si>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</si>
  <si>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</si>
  <si>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</si>
  <si>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</si>
  <si>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</si>
  <si>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</si>
  <si>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</si>
  <si>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</si>
  <si>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</si>
  <si>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</si>
  <si>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</si>
  <si>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</si>
  <si>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</si>
  <si>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</si>
  <si>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</si>
  <si>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</si>
  <si>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</si>
  <si>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</si>
  <si>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</si>
  <si>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</si>
  <si>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</si>
  <si>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</si>
  <si>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</si>
  <si>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</si>
  <si>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</si>
  <si>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</si>
  <si>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</si>
  <si>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</si>
  <si>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</si>
  <si>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</si>
  <si>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</si>
  <si>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</si>
  <si>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</si>
  <si>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</si>
  <si>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</si>
  <si>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</si>
  <si>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</si>
  <si>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</si>
  <si>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</si>
  <si>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</si>
  <si>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</si>
  <si>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</si>
  <si>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</si>
  <si>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</si>
  <si>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</si>
  <si>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</si>
  <si>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</si>
  <si>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</si>
  <si>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</si>
  <si>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</si>
  <si>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</si>
  <si>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</si>
  <si>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</si>
  <si>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</si>
  <si>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</si>
  <si>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</si>
  <si>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</si>
  <si>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</si>
  <si>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</si>
  <si>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</si>
  <si>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</si>
  <si>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</si>
  <si>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</si>
  <si>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</si>
  <si>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</si>
  <si>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</si>
  <si>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</si>
  <si>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</si>
  <si>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</si>
  <si>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</si>
  <si>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</si>
  <si>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</si>
  <si>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</si>
  <si>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</si>
  <si>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</si>
  <si>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</si>
  <si>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</si>
  <si>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</si>
  <si>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</si>
  <si>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</si>
  <si>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</si>
  <si>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</si>
  <si>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</si>
  <si>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</si>
  <si>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</si>
  <si>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</si>
  <si>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</si>
  <si>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</si>
  <si>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</si>
  <si>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</si>
  <si>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</si>
  <si>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</si>
  <si>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</si>
  <si>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</si>
  <si>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</si>
  <si>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</si>
  <si>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</si>
  <si>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</si>
  <si>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</si>
  <si>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</si>
  <si>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</si>
  <si>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</si>
  <si>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</si>
  <si>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</si>
  <si>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</si>
  <si>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</si>
  <si>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</si>
  <si>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</si>
  <si>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</si>
  <si>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</si>
  <si>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</si>
  <si>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</si>
  <si>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</si>
  <si>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</si>
  <si>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</si>
  <si>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</si>
  <si>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</si>
  <si>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</si>
  <si>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</si>
  <si>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</si>
  <si>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</si>
  <si>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</si>
  <si>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</si>
  <si>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</si>
  <si>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</si>
  <si>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</si>
  <si>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</si>
  <si>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</si>
  <si>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</si>
  <si>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</si>
  <si>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</si>
  <si>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</si>
  <si>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</si>
  <si>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</si>
  <si>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</si>
  <si>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</si>
  <si>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</si>
  <si>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</si>
  <si>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</si>
  <si>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</si>
  <si>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</si>
  <si>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</si>
  <si>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</si>
  <si>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</si>
  <si>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</si>
  <si>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</si>
  <si>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</si>
  <si>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</si>
  <si>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</si>
  <si>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</si>
  <si>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</si>
  <si>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</si>
  <si>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</si>
  <si>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</si>
  <si>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</si>
  <si>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</si>
  <si>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</si>
  <si>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</si>
  <si>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</si>
  <si>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</si>
  <si>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</si>
  <si>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</si>
  <si>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</si>
  <si>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</si>
  <si>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</si>
  <si>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</si>
  <si>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</si>
  <si>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</si>
  <si>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</si>
  <si>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</si>
  <si>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</si>
  <si>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</si>
  <si>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</si>
  <si>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</si>
  <si>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</si>
  <si>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</si>
  <si>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</si>
  <si>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</si>
  <si>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</si>
  <si>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</si>
  <si>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</si>
  <si>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</si>
  <si>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</si>
  <si>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</si>
  <si>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</si>
  <si>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</si>
  <si>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</si>
  <si>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</si>
  <si>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</si>
  <si>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</si>
  <si>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</si>
  <si>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</si>
  <si>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</si>
  <si>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</si>
  <si>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</si>
  <si>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</si>
  <si>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</si>
  <si>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</si>
  <si>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</si>
  <si>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</si>
  <si>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</si>
  <si>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</si>
  <si>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</si>
  <si>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</si>
  <si>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</si>
  <si>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</si>
  <si>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</si>
  <si>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</si>
  <si>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</si>
  <si>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</si>
  <si>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</si>
  <si>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</si>
  <si>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</si>
  <si>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</si>
  <si>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</si>
  <si>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</si>
  <si>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</si>
  <si>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</si>
  <si>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</si>
  <si>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</si>
  <si>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</si>
  <si>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</si>
  <si>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</si>
  <si>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</si>
  <si>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</si>
  <si>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</si>
  <si>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</si>
  <si>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</si>
  <si>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</si>
  <si>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</si>
  <si>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</si>
  <si>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</si>
  <si>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</si>
  <si>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</si>
  <si>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</si>
  <si>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</si>
  <si>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</si>
  <si>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</si>
  <si>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</si>
  <si>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</si>
  <si>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</si>
  <si>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</si>
  <si>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</si>
  <si>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</si>
  <si>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</si>
  <si>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</si>
  <si>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</si>
  <si>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</si>
  <si>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</si>
  <si>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</si>
  <si>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</si>
  <si>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</si>
  <si>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</si>
  <si>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</si>
  <si>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</si>
  <si>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</si>
  <si>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</si>
  <si>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</si>
  <si>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</si>
  <si>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</si>
  <si>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</si>
  <si>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</si>
  <si>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</si>
  <si>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</si>
  <si>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</si>
  <si>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</si>
  <si>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</si>
  <si>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</si>
  <si>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</si>
  <si>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</si>
  <si>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</si>
  <si>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</si>
  <si>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</si>
  <si>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</si>
  <si>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</si>
  <si>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</si>
  <si>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</si>
  <si>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</si>
  <si>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</si>
  <si>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</si>
  <si>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</si>
  <si>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</si>
  <si>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</si>
  <si>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</si>
  <si>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</si>
  <si>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</si>
  <si>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</si>
  <si>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</si>
  <si>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</si>
  <si>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</si>
  <si>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</si>
  <si>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</si>
  <si>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</si>
  <si>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</si>
  <si>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</si>
  <si>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</si>
  <si>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</si>
  <si>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</si>
  <si>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</si>
  <si>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</si>
  <si>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</si>
  <si>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</si>
  <si>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</si>
  <si>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</si>
  <si>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</si>
  <si>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</si>
  <si>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</si>
  <si>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</si>
  <si>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</si>
  <si>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</si>
  <si>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</si>
  <si>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</si>
  <si>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</si>
  <si>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</si>
  <si>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</si>
  <si>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</si>
  <si>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</si>
  <si>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</si>
  <si>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</si>
  <si>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</si>
  <si>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</si>
  <si>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</si>
  <si>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</si>
  <si>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</si>
  <si>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</si>
  <si>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</si>
  <si>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</si>
  <si>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</si>
  <si>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</si>
  <si>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</si>
  <si>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</si>
  <si>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</si>
  <si>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</si>
  <si>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</si>
  <si>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</si>
  <si>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</si>
  <si>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</si>
  <si>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</si>
  <si>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</si>
  <si>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</si>
  <si>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</si>
  <si>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</si>
  <si>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</si>
  <si>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</si>
  <si>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</si>
  <si>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</si>
  <si>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</si>
  <si>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</si>
  <si>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</si>
  <si>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</si>
  <si>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</si>
  <si>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</si>
  <si>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</si>
  <si>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</si>
  <si>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</si>
  <si>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</si>
  <si>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</si>
  <si>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</si>
  <si>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</si>
  <si>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</si>
  <si>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</si>
  <si>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</si>
  <si>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</si>
  <si>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</si>
  <si>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</si>
  <si>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</si>
  <si>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</si>
  <si>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</si>
  <si>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</si>
  <si>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</si>
  <si>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</si>
  <si>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</si>
  <si>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</si>
  <si>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</si>
  <si>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</si>
  <si>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</si>
  <si>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</si>
  <si>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</si>
  <si>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</si>
  <si>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</si>
  <si>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</si>
  <si>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</si>
  <si>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</si>
  <si>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</si>
  <si>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</si>
  <si>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</si>
  <si>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</si>
  <si>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</si>
  <si>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</si>
  <si>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</si>
  <si>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</si>
  <si>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</si>
  <si>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</si>
  <si>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</si>
  <si>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</si>
  <si>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</si>
  <si>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</si>
  <si>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</si>
  <si>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</si>
  <si>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</si>
  <si>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</si>
  <si>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</si>
  <si>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</si>
  <si>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</si>
  <si>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</si>
  <si>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</si>
  <si>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</si>
  <si>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</si>
  <si>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</si>
  <si>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</si>
  <si>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</si>
  <si>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</si>
  <si>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</si>
  <si>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</si>
  <si>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</si>
  <si>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</si>
  <si>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</si>
  <si>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</si>
  <si>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</si>
  <si>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</si>
  <si>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</si>
  <si>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</si>
  <si>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</si>
  <si>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</si>
  <si>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</si>
  <si>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</si>
  <si>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</si>
  <si>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</si>
  <si>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</si>
  <si>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</si>
  <si>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</si>
  <si>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</si>
  <si>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</si>
  <si>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</si>
  <si>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</si>
  <si>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</si>
  <si>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</si>
  <si>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</si>
  <si>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</si>
  <si>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</si>
  <si>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</si>
  <si>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</si>
  <si>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</si>
  <si>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</si>
  <si>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</si>
  <si>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</si>
  <si>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</si>
  <si>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</si>
  <si>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</si>
  <si>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</si>
  <si>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</si>
  <si>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</si>
  <si>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</si>
  <si>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</si>
  <si>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</si>
  <si>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</si>
  <si>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</si>
  <si>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</si>
  <si>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</si>
  <si>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</si>
  <si>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</si>
  <si>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</si>
  <si>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</si>
  <si>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</si>
  <si>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</si>
  <si>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</si>
  <si>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</si>
  <si>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</si>
  <si>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</si>
  <si>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</si>
  <si>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</si>
  <si>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</si>
  <si>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</si>
  <si>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</si>
  <si>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</si>
  <si>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</si>
  <si>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</si>
  <si>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</si>
  <si>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</si>
  <si>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</si>
  <si>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</si>
  <si>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</si>
  <si>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</si>
  <si>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</si>
  <si>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</si>
  <si>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</si>
  <si>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</si>
  <si>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</si>
  <si>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</si>
  <si>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</si>
  <si>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</si>
  <si>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</si>
  <si>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</si>
  <si>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</si>
  <si>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</si>
  <si>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</si>
  <si>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</si>
  <si>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</si>
  <si>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</si>
  <si>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</si>
  <si>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</si>
  <si>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</si>
  <si>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</si>
  <si>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</si>
  <si>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</si>
  <si>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</si>
  <si>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</si>
  <si>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</si>
  <si>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</si>
  <si>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</si>
  <si>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</si>
  <si>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</si>
  <si>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</si>
  <si>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</si>
  <si>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</si>
  <si>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</si>
  <si>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</si>
  <si>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</si>
  <si>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</si>
  <si>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</si>
  <si>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</si>
  <si>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</si>
  <si>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</si>
  <si>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</si>
  <si>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</si>
  <si>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</si>
  <si>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</si>
  <si>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</si>
  <si>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</si>
  <si>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</si>
  <si>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</si>
  <si>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</si>
  <si>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</si>
  <si>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</si>
  <si>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</si>
  <si>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</si>
  <si>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</si>
  <si>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</si>
  <si>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</si>
  <si>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</si>
  <si>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</si>
  <si>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</si>
  <si>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</si>
  <si>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</si>
  <si>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</si>
  <si>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</si>
  <si>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</si>
  <si>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</si>
  <si>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</si>
  <si>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</si>
  <si>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</si>
  <si>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</si>
  <si>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</si>
  <si>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</si>
  <si>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</si>
  <si>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</si>
  <si>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</si>
  <si>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</si>
  <si>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</si>
  <si>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</si>
  <si>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</si>
  <si>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</si>
  <si>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</si>
  <si>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</si>
  <si>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</si>
  <si>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</si>
  <si>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</si>
  <si>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</si>
  <si>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</si>
  <si>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</si>
  <si>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</si>
  <si>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</si>
  <si>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</si>
  <si>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</si>
  <si>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</si>
  <si>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</si>
  <si>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</si>
  <si>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</si>
  <si>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</si>
  <si>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</si>
  <si>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</si>
  <si>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</si>
  <si>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</si>
  <si>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</si>
  <si>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</si>
  <si>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</si>
  <si>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</si>
  <si>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</si>
  <si>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</si>
  <si>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</si>
  <si>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</si>
  <si>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</si>
  <si>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</si>
  <si>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</si>
  <si>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</si>
  <si>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</si>
  <si>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</si>
  <si>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</si>
  <si>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</si>
  <si>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</si>
  <si>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</si>
  <si>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</si>
  <si>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</si>
  <si>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</si>
  <si>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</si>
  <si>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</si>
  <si>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</si>
  <si>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</si>
  <si>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</si>
  <si>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</si>
  <si>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</si>
  <si>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</si>
  <si>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</si>
  <si>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</si>
  <si>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</si>
  <si>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</si>
  <si>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</si>
  <si>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</si>
  <si>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</si>
  <si>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</si>
  <si>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</si>
  <si>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</si>
  <si>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</si>
  <si>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</si>
  <si>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</si>
  <si>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</si>
  <si>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</si>
  <si>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</si>
  <si>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</si>
  <si>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</si>
  <si>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</si>
  <si>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</si>
  <si>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</si>
  <si>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</si>
  <si>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</si>
  <si>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</si>
  <si>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</si>
  <si>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</si>
  <si>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</si>
  <si>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</si>
  <si>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</si>
  <si>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</si>
  <si>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</si>
  <si>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</si>
  <si>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</si>
  <si>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</si>
  <si>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</si>
  <si>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</si>
  <si>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</si>
  <si>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</si>
  <si>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</si>
  <si>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</si>
  <si>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</si>
  <si>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</si>
  <si>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</si>
  <si>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</si>
  <si>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</si>
  <si>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</si>
  <si>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</si>
  <si>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</si>
  <si>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</si>
  <si>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</si>
  <si>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</si>
  <si>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</si>
  <si>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</si>
  <si>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</si>
  <si>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</si>
  <si>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</si>
  <si>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</si>
  <si>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</si>
  <si>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</si>
  <si>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</si>
  <si>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</si>
  <si>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</si>
  <si>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</si>
  <si>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</si>
  <si>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</si>
  <si>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</si>
  <si>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</si>
  <si>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</si>
  <si>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</si>
  <si>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</si>
  <si>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</si>
  <si>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</si>
  <si>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</si>
  <si>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</si>
  <si>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</si>
  <si>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</si>
  <si>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</si>
  <si>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</si>
  <si>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</si>
  <si>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</si>
  <si>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</si>
  <si>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</si>
  <si>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</si>
  <si>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</si>
  <si>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</si>
  <si>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</si>
  <si>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</si>
  <si>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</si>
  <si>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</si>
  <si>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</si>
  <si>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</si>
  <si>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</si>
  <si>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</si>
  <si>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</si>
  <si>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</si>
  <si>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</si>
  <si>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</si>
  <si>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</si>
  <si>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</si>
  <si>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</si>
  <si>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</si>
  <si>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</si>
  <si>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</si>
  <si>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</si>
  <si>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</si>
  <si>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</si>
  <si>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</si>
  <si>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</si>
  <si>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</si>
  <si>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</si>
  <si>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</si>
  <si>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</si>
  <si>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</si>
  <si>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</si>
  <si>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</si>
  <si>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</si>
  <si>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</si>
  <si>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</si>
  <si>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</si>
  <si>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</si>
  <si>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</si>
  <si>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</si>
  <si>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</si>
  <si>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</si>
  <si>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</si>
  <si>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</si>
  <si>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</si>
  <si>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</si>
  <si>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</si>
  <si>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</si>
  <si>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</si>
  <si>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</si>
  <si>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</si>
  <si>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</si>
  <si>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</si>
  <si>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</si>
  <si>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</si>
  <si>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</si>
  <si>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</si>
  <si>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</si>
  <si>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</si>
  <si>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</si>
  <si>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</si>
  <si>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</si>
  <si>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</si>
  <si>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</si>
  <si>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</si>
  <si>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</si>
  <si>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</si>
  <si>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</si>
  <si>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</si>
  <si>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</si>
  <si>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</si>
  <si>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</si>
  <si>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</si>
  <si>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</si>
  <si>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</si>
  <si>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</si>
  <si>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</si>
  <si>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</si>
  <si>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</si>
  <si>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</si>
  <si>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</si>
  <si>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</si>
  <si>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</si>
  <si>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</si>
  <si>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</si>
  <si>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</si>
  <si>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</si>
  <si>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</si>
  <si>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</si>
  <si>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</si>
  <si>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</si>
  <si>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</si>
  <si>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</si>
  <si>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</si>
  <si>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</si>
  <si>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</si>
  <si>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</si>
  <si>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</si>
  <si>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</si>
  <si>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</si>
  <si>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</si>
  <si>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</si>
  <si>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</si>
  <si>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</si>
  <si>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</si>
  <si>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</si>
  <si>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</si>
  <si>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</si>
  <si>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</si>
  <si>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</si>
  <si>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</si>
  <si>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</si>
  <si>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</si>
  <si>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</si>
  <si>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</si>
  <si>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</si>
  <si>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</si>
  <si>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</si>
  <si>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</si>
  <si>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</si>
  <si>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</si>
  <si>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</si>
  <si>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</si>
  <si>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</si>
  <si>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</si>
  <si>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</si>
  <si>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</si>
  <si>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</si>
  <si>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</si>
  <si>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</si>
  <si>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</si>
  <si>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</si>
  <si>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</si>
  <si>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</si>
  <si>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</si>
  <si>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</si>
  <si>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</si>
  <si>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</si>
  <si>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</si>
  <si>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</si>
  <si>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</si>
  <si>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</si>
  <si>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</si>
  <si>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</si>
  <si>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</si>
  <si>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</si>
  <si>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</si>
  <si>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</si>
  <si>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</si>
  <si>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</si>
  <si>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</si>
  <si>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</si>
  <si>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</si>
  <si>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</si>
  <si>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</si>
  <si>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</si>
  <si>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</si>
  <si>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</si>
  <si>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</si>
  <si>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</si>
  <si>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</si>
  <si>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</si>
  <si>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</si>
  <si>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</si>
  <si>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</si>
  <si>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</si>
  <si>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</si>
  <si>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</si>
  <si>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</si>
  <si>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</si>
  <si>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</si>
  <si>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</si>
  <si>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</si>
  <si>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</si>
  <si>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</si>
  <si>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</si>
  <si>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</si>
  <si>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</si>
  <si>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</si>
  <si>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</si>
  <si>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</si>
  <si>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</si>
  <si>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</si>
  <si>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</si>
  <si>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</si>
  <si>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</si>
  <si>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</si>
  <si>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</si>
  <si>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</si>
  <si>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</si>
  <si>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</si>
  <si>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</si>
  <si>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</si>
  <si>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</si>
  <si>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</si>
  <si>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</si>
  <si>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</si>
  <si>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</si>
  <si>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</si>
  <si>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</si>
  <si>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</si>
  <si>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</si>
  <si>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</si>
  <si>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</si>
  <si>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</si>
  <si>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</si>
  <si>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</si>
  <si>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</si>
  <si>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</si>
  <si>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</si>
  <si>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</si>
  <si>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</si>
  <si>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</si>
  <si>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</si>
  <si>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</si>
  <si>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</si>
  <si>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</si>
  <si>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</si>
  <si>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</si>
  <si>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</si>
  <si>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</si>
  <si>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</si>
  <si>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</si>
  <si>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</si>
  <si>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</si>
  <si>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</si>
  <si>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</si>
  <si>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</si>
  <si>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</si>
  <si>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</si>
  <si>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</si>
  <si>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</si>
  <si>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</si>
  <si>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</si>
  <si>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</si>
  <si>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</si>
  <si>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</si>
  <si>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</si>
  <si>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</si>
  <si>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</si>
  <si>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</si>
  <si>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</si>
  <si>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</si>
  <si>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</si>
  <si>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</si>
  <si>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</si>
  <si>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</si>
  <si>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</si>
  <si>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</si>
  <si>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</si>
  <si>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</si>
  <si>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</si>
  <si>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</si>
  <si>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</si>
  <si>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</si>
  <si>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</si>
  <si>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</si>
  <si>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</si>
  <si>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</si>
  <si>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</si>
  <si>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</si>
  <si>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</si>
  <si>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</si>
  <si>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</si>
  <si>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</si>
  <si>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</si>
  <si>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</si>
  <si>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</si>
  <si>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</si>
  <si>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</si>
  <si>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</si>
  <si>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</si>
  <si>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</si>
  <si>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</si>
  <si>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</si>
  <si>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</si>
  <si>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</si>
  <si>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</si>
  <si>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</si>
  <si>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</si>
  <si>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</si>
  <si>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</si>
  <si>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</si>
  <si>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</si>
  <si>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</si>
  <si>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</si>
  <si>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</si>
  <si>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</si>
  <si>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</si>
  <si>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</si>
  <si>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</si>
  <si>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</si>
  <si>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</si>
  <si>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</si>
  <si>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</si>
  <si>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</si>
  <si>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</si>
  <si>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</si>
  <si>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</si>
  <si>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</si>
  <si>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</si>
  <si>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</si>
  <si>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</si>
  <si>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</si>
  <si>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</si>
  <si>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</si>
  <si>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</si>
  <si>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</si>
  <si>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</si>
  <si>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</si>
  <si>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</si>
  <si>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</si>
  <si>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</si>
  <si>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</si>
  <si>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</si>
  <si>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</si>
  <si>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</si>
  <si>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</si>
  <si>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</si>
  <si>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</si>
  <si>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</si>
  <si>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</si>
  <si>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</si>
  <si>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</si>
  <si>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</si>
  <si>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</si>
  <si>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</si>
  <si>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</si>
  <si>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</si>
  <si>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</si>
  <si>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</si>
  <si>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</si>
  <si>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</si>
  <si>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</si>
  <si>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</si>
  <si>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</si>
  <si>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</si>
  <si>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</si>
  <si>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</si>
  <si>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</si>
  <si>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</si>
  <si>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</si>
  <si>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</si>
  <si>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</si>
  <si>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</si>
  <si>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</si>
  <si>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</si>
  <si>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</si>
  <si>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</si>
  <si>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</si>
  <si>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</si>
  <si>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</si>
  <si>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</si>
  <si>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</si>
  <si>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</si>
  <si>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</si>
  <si>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</si>
  <si>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</si>
  <si>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</si>
  <si>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</si>
  <si>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</si>
  <si>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</si>
  <si>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</si>
  <si>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</si>
  <si>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</si>
  <si>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</si>
  <si>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</si>
  <si>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</si>
  <si>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</si>
  <si>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</si>
  <si>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</si>
  <si>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</si>
  <si>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</si>
  <si>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</si>
  <si>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</si>
  <si>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</si>
  <si>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</si>
  <si>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</si>
  <si>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</si>
  <si>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</si>
  <si>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</si>
  <si>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</si>
  <si>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</si>
  <si>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</si>
  <si>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</si>
  <si>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</si>
  <si>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</si>
  <si>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</si>
  <si>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</si>
  <si>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</si>
  <si>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</si>
  <si>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</si>
  <si>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</si>
  <si>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</si>
  <si>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</si>
  <si>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</si>
  <si>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</si>
  <si>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</si>
  <si>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</si>
  <si>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</si>
  <si>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</si>
  <si>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</si>
  <si>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</si>
  <si>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</si>
  <si>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</si>
  <si>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</si>
  <si>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</si>
  <si>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</si>
  <si>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</si>
  <si>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</si>
  <si>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</si>
  <si>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</si>
  <si>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</si>
  <si>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</si>
  <si>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</si>
  <si>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</si>
  <si>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</si>
  <si>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</si>
  <si>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</si>
  <si>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</si>
  <si>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</si>
  <si>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</si>
  <si>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</si>
  <si>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</si>
  <si>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</si>
  <si>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</si>
  <si>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</si>
  <si>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</si>
  <si>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</si>
  <si>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</si>
  <si>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</si>
  <si>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</si>
  <si>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</si>
  <si>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</si>
  <si>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</si>
  <si>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</si>
  <si>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</si>
  <si>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</si>
  <si>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</si>
  <si>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</si>
  <si>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</si>
  <si>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</si>
  <si>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</si>
  <si>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</si>
  <si>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</si>
  <si>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</si>
  <si>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</si>
  <si>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</si>
  <si>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</si>
  <si>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</si>
  <si>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</si>
  <si>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</si>
  <si>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</si>
  <si>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</si>
  <si>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</si>
  <si>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</si>
  <si>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</si>
  <si>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</si>
  <si>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</si>
  <si>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</si>
  <si>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</si>
  <si>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</si>
  <si>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</si>
  <si>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</si>
  <si>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</si>
  <si>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</si>
  <si>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</si>
  <si>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</si>
  <si>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</si>
  <si>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</si>
  <si>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</si>
  <si>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</si>
  <si>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</si>
  <si>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</si>
  <si>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</si>
  <si>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</si>
  <si>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</si>
  <si>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</si>
  <si>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</si>
  <si>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</si>
  <si>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</si>
  <si>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</si>
  <si>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</si>
  <si>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</si>
  <si>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</si>
  <si>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</si>
  <si>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</si>
  <si>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</si>
  <si>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</si>
  <si>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</si>
  <si>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</si>
  <si>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</si>
  <si>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</si>
  <si>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</si>
  <si>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</si>
  <si>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</si>
  <si>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</si>
  <si>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</si>
  <si>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</si>
  <si>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</si>
  <si>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</si>
  <si>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</si>
  <si>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</si>
  <si>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</si>
  <si>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</si>
  <si>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</si>
  <si>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</si>
  <si>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</si>
  <si>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</si>
  <si>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</si>
  <si>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</si>
  <si>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</si>
  <si>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</si>
  <si>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</si>
  <si>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</si>
  <si>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</si>
  <si>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</si>
  <si>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</si>
  <si>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</si>
  <si>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</si>
  <si>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</si>
  <si>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</si>
  <si>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</si>
  <si>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</si>
  <si>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</si>
  <si>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</si>
  <si>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</si>
  <si>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</si>
  <si>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</si>
  <si>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</si>
  <si>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</si>
  <si>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</si>
  <si>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</si>
  <si>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</si>
  <si>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</si>
  <si>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</si>
  <si>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</si>
  <si>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</si>
  <si>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</si>
  <si>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</si>
  <si>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</si>
  <si>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</si>
  <si>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</si>
  <si>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</si>
  <si>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</si>
  <si>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</si>
  <si>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</si>
  <si>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</si>
  <si>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</si>
  <si>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</si>
  <si>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</si>
  <si>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</si>
  <si>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</si>
  <si>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</si>
  <si>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</si>
  <si>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</si>
  <si>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</si>
  <si>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</si>
  <si>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</si>
  <si>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</si>
  <si>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</si>
  <si>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</si>
  <si>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</si>
  <si>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</si>
  <si>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</si>
  <si>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</si>
  <si>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</si>
  <si>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</si>
  <si>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</si>
  <si>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</si>
  <si>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</si>
  <si>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</si>
  <si>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</si>
  <si>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</si>
  <si>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</si>
  <si>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</si>
  <si>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</si>
  <si>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</si>
  <si>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</si>
  <si>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</si>
  <si>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</si>
  <si>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</si>
  <si>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</si>
  <si>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</si>
  <si>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</si>
  <si>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</si>
  <si>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</si>
  <si>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</si>
  <si>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</si>
  <si>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</si>
  <si>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</si>
  <si>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</si>
  <si>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</si>
  <si>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</si>
  <si>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</si>
  <si>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</si>
  <si>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</si>
  <si>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</si>
  <si>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</si>
  <si>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</si>
  <si>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</si>
  <si>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</si>
  <si>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</si>
  <si>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</si>
  <si>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</si>
  <si>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</si>
  <si>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</si>
  <si>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</si>
  <si>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</si>
  <si>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</si>
  <si>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</si>
  <si>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</si>
  <si>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</si>
  <si>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</si>
  <si>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</si>
  <si>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</si>
  <si>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</si>
  <si>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</si>
  <si>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</si>
  <si>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</si>
  <si>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</si>
  <si>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</si>
  <si>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</si>
  <si>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</si>
  <si>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</si>
  <si>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</si>
  <si>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</si>
  <si>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</si>
  <si>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</si>
  <si>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</si>
  <si>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</si>
  <si>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</si>
  <si>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</si>
  <si>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</si>
  <si>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</si>
  <si>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</si>
  <si>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</si>
  <si>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</si>
  <si>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</si>
  <si>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</si>
  <si>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</si>
  <si>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</si>
  <si>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</si>
  <si>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</si>
  <si>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</si>
  <si>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</si>
  <si>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</si>
  <si>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</si>
  <si>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</si>
  <si>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</si>
  <si>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</si>
  <si>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</si>
  <si>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</si>
  <si>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</si>
  <si>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</si>
  <si>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</si>
  <si>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</si>
  <si>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</si>
  <si>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</si>
  <si>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</si>
  <si>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</si>
  <si>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</si>
  <si>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</si>
  <si>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</si>
  <si>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</si>
  <si>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</si>
  <si>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</si>
  <si>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</si>
  <si>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</si>
  <si>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</si>
  <si>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</si>
  <si>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</si>
  <si>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</si>
  <si>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</si>
  <si>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</si>
  <si>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</si>
  <si>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</si>
  <si>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</si>
  <si>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</si>
  <si>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</si>
  <si>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</si>
  <si>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</si>
  <si>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</si>
  <si>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</si>
  <si>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</si>
  <si>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</si>
  <si>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</si>
  <si>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</si>
  <si>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</si>
  <si>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</si>
  <si>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</si>
  <si>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</si>
  <si>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</si>
  <si>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</si>
  <si>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</si>
  <si>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</si>
  <si>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</si>
  <si>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</si>
  <si>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</si>
  <si>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</si>
  <si>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</si>
  <si>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</si>
  <si>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</si>
  <si>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</si>
  <si>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</si>
  <si>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</si>
  <si>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</si>
  <si>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</si>
  <si>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</si>
  <si>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</si>
  <si>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</si>
  <si>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</si>
  <si>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</si>
  <si>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</si>
  <si>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</si>
  <si>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</si>
  <si>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</si>
  <si>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</si>
  <si>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</si>
  <si>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</si>
  <si>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</si>
  <si>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</si>
  <si>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</si>
  <si>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</si>
  <si>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</si>
  <si>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</si>
  <si>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</si>
  <si>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</si>
  <si>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</si>
  <si>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</si>
  <si>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</si>
  <si>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</si>
  <si>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</si>
  <si>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</si>
  <si>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</si>
  <si>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</si>
  <si>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</si>
  <si>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</si>
  <si>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</si>
  <si>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</si>
  <si>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</si>
  <si>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</si>
  <si>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</si>
  <si>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</si>
  <si>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</si>
  <si>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</si>
  <si>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</si>
  <si>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</si>
  <si>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</si>
  <si>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</si>
  <si>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</si>
  <si>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</si>
  <si>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</si>
  <si>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</si>
  <si>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</si>
  <si>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</si>
  <si>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</si>
  <si>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</si>
  <si>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</si>
  <si>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</si>
  <si>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</si>
  <si>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</si>
  <si>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</si>
  <si>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</si>
  <si>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</si>
  <si>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</si>
  <si>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</si>
  <si>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</si>
  <si>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</si>
  <si>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</si>
  <si>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</si>
  <si>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</si>
  <si>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</si>
  <si>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</si>
  <si>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</si>
  <si>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</si>
  <si>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</si>
  <si>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</si>
  <si>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</si>
  <si>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</si>
  <si>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</si>
  <si>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</si>
  <si>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</si>
  <si>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</si>
  <si>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</si>
  <si>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</si>
  <si>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</si>
  <si>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</si>
  <si>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</si>
  <si>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</si>
  <si>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</si>
  <si>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</si>
  <si>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</si>
  <si>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</si>
  <si>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</si>
  <si>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</si>
  <si>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</si>
  <si>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</si>
  <si>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</si>
  <si>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</si>
  <si>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</si>
  <si>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</si>
  <si>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</si>
  <si>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</si>
  <si>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</si>
  <si>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</si>
  <si>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</si>
  <si>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</si>
  <si>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</si>
  <si>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</si>
  <si>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</si>
  <si>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</si>
  <si>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</si>
  <si>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</si>
  <si>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</si>
  <si>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</si>
  <si>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</si>
  <si>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</si>
  <si>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</si>
  <si>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</si>
  <si>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</si>
  <si>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</si>
  <si>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</si>
  <si>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</si>
  <si>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</si>
  <si>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</si>
  <si>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</si>
  <si>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</si>
  <si>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</si>
  <si>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</si>
  <si>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</si>
  <si>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</si>
  <si>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</si>
  <si>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</si>
  <si>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</si>
  <si>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</si>
  <si>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</si>
  <si>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</si>
  <si>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</si>
  <si>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</si>
  <si>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</si>
  <si>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</si>
  <si>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</si>
  <si>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</si>
  <si>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</si>
  <si>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</si>
  <si>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</si>
  <si>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</si>
  <si>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</si>
  <si>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</si>
  <si>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</si>
  <si>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</si>
  <si>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</si>
  <si>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</si>
  <si>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</si>
  <si>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</si>
  <si>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</si>
  <si>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</si>
  <si>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</si>
  <si>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</si>
  <si>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</si>
  <si>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</si>
  <si>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</si>
  <si>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</si>
  <si>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</si>
  <si>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</si>
  <si>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</si>
  <si>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</si>
  <si>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</si>
  <si>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</si>
  <si>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</si>
  <si>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</si>
  <si>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</si>
  <si>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</si>
  <si>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</si>
  <si>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</si>
  <si>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</si>
  <si>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</si>
  <si>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</si>
  <si>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</si>
  <si>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</si>
  <si>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</si>
  <si>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</si>
  <si>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</si>
  <si>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</si>
  <si>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</si>
  <si>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</si>
  <si>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</si>
  <si>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</si>
  <si>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</si>
  <si>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</si>
  <si>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</si>
  <si>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</si>
  <si>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</si>
  <si>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</si>
  <si>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</si>
  <si>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</si>
  <si>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</si>
  <si>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</si>
  <si>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</si>
  <si>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</si>
  <si>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</si>
  <si>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</si>
  <si>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</si>
  <si>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</si>
  <si>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</si>
  <si>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</si>
  <si>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</si>
  <si>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</si>
  <si>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</si>
  <si>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</si>
  <si>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</si>
  <si>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</si>
  <si>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</si>
  <si>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</si>
  <si>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</si>
  <si>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</si>
  <si>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</si>
  <si>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</si>
  <si>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</si>
  <si>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</si>
  <si>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</si>
  <si>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</si>
  <si>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</si>
  <si>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</si>
  <si>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</si>
  <si>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</si>
  <si>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</si>
  <si>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</si>
  <si>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</si>
  <si>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</si>
  <si>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</si>
  <si>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</si>
  <si>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</si>
  <si>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</si>
  <si>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</si>
  <si>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</si>
  <si>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</si>
  <si>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</si>
  <si>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</si>
  <si>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</si>
  <si>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</si>
  <si>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</si>
  <si>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</si>
  <si>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</si>
  <si>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</si>
  <si>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</si>
  <si>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</si>
  <si>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</si>
  <si>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</si>
  <si>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</si>
  <si>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</si>
  <si>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</si>
  <si>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</si>
  <si>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</si>
  <si>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</si>
  <si>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</si>
  <si>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</si>
  <si>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</si>
  <si>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</si>
  <si>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</si>
  <si>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</si>
  <si>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</si>
  <si>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</si>
  <si>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</si>
  <si>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</si>
  <si>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</si>
  <si>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</si>
  <si>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</si>
  <si>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</si>
  <si>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</si>
  <si>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</si>
  <si>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</si>
  <si>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</si>
  <si>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</si>
  <si>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</si>
  <si>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</si>
  <si>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</si>
  <si>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</si>
  <si>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</si>
  <si>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</si>
  <si>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</si>
  <si>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</si>
  <si>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</si>
  <si>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</si>
  <si>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</si>
  <si>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</si>
  <si>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</si>
  <si>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</si>
  <si>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</si>
  <si>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</si>
  <si>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</si>
  <si>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</si>
  <si>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</si>
  <si>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</si>
  <si>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</si>
  <si>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</si>
  <si>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</si>
  <si>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</si>
  <si>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</si>
  <si>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</si>
  <si>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</si>
  <si>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</si>
  <si>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</si>
  <si>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</si>
  <si>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</si>
  <si>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</si>
  <si>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</si>
  <si>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</si>
  <si>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</si>
  <si>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</si>
  <si>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</si>
  <si>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</si>
  <si>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</si>
  <si>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</si>
  <si>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</si>
  <si>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</si>
  <si>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</si>
  <si>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</si>
  <si>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</si>
  <si>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</si>
  <si>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</si>
  <si>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</si>
  <si>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</si>
  <si>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</si>
  <si>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</si>
  <si>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</si>
  <si>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</si>
  <si>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</si>
  <si>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</si>
  <si>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</si>
  <si>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</si>
  <si>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</si>
  <si>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</si>
  <si>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</si>
  <si>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</si>
  <si>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</si>
  <si>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</si>
  <si>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</si>
  <si>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</si>
  <si>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</si>
  <si>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</si>
  <si>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</si>
  <si>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</si>
  <si>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</si>
  <si>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</si>
  <si>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</si>
  <si>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</si>
  <si>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</si>
  <si>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</si>
  <si>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</si>
  <si>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</si>
  <si>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</si>
  <si>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</si>
  <si>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</si>
  <si>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</si>
  <si>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</si>
  <si>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</si>
  <si>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</si>
  <si>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</si>
  <si>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</si>
  <si>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</si>
  <si>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</si>
  <si>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</si>
  <si>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</si>
  <si>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</si>
  <si>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</si>
  <si>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</si>
  <si>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</si>
  <si>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</si>
  <si>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</si>
  <si>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</si>
  <si>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</si>
  <si>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</si>
  <si>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</si>
  <si>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</si>
  <si>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</si>
  <si>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</si>
  <si>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</si>
  <si>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</si>
  <si>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</si>
  <si>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</si>
  <si>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</si>
  <si>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</si>
  <si>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</si>
  <si>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</si>
  <si>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</si>
  <si>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</si>
  <si>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</si>
  <si>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</si>
  <si>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</si>
  <si>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</si>
  <si>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</si>
  <si>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</si>
  <si>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</si>
  <si>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</si>
  <si>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</si>
  <si>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</si>
  <si>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</si>
  <si>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</si>
  <si>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</si>
  <si>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</si>
  <si>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</si>
  <si>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</si>
  <si>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</si>
  <si>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</si>
  <si>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</si>
  <si>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</si>
  <si>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</si>
  <si>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</si>
  <si>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</si>
  <si>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</si>
  <si>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</si>
  <si>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</si>
  <si>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</si>
  <si>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</si>
  <si>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</si>
  <si>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</si>
  <si>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</si>
  <si>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</si>
  <si>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</si>
  <si>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</si>
  <si>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</si>
  <si>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</si>
  <si>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</si>
  <si>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</si>
  <si>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</si>
  <si>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</si>
  <si>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</si>
  <si>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</si>
  <si>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</si>
  <si>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</si>
  <si>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</si>
  <si>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</si>
  <si>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</si>
  <si>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</si>
  <si>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</si>
  <si>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</si>
  <si>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</si>
  <si>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</si>
  <si>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</si>
  <si>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</si>
  <si>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</si>
  <si>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</si>
  <si>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</si>
  <si>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</si>
  <si>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</si>
  <si>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</si>
  <si>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</si>
  <si>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</si>
  <si>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</si>
  <si>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</si>
  <si>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</si>
  <si>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</si>
  <si>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</si>
  <si>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</si>
  <si>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</si>
  <si>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</si>
  <si>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</si>
  <si>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</si>
  <si>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</si>
  <si>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</si>
  <si>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</si>
  <si>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</si>
  <si>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</si>
  <si>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</si>
  <si>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</si>
  <si>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</si>
  <si>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</si>
  <si>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</si>
  <si>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</si>
  <si>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</si>
  <si>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</si>
  <si>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</si>
  <si>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</si>
  <si>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</si>
  <si>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</si>
  <si>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</si>
  <si>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</si>
  <si>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</si>
  <si>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</si>
  <si>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</si>
  <si>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</si>
  <si>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</si>
  <si>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</si>
  <si>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</si>
  <si>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</si>
  <si>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</si>
  <si>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</si>
  <si>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</si>
  <si>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</si>
  <si>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</si>
  <si>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</si>
  <si>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</si>
  <si>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</si>
  <si>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</si>
  <si>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</si>
  <si>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</si>
  <si>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</si>
  <si>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</si>
  <si>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</si>
  <si>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</si>
  <si>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</si>
  <si>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</si>
  <si>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</si>
  <si>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</si>
  <si>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</si>
  <si>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</si>
  <si>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</si>
  <si>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</si>
  <si>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</si>
  <si>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</si>
  <si>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</si>
  <si>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</si>
  <si>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</si>
  <si>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</si>
  <si>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</si>
  <si>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</si>
  <si>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</si>
  <si>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</si>
  <si>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</si>
  <si>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</si>
  <si>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</si>
  <si>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</si>
  <si>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</si>
  <si>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</si>
  <si>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</si>
  <si>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</si>
  <si>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</si>
  <si>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</si>
  <si>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</si>
  <si>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</si>
  <si>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</si>
  <si>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</si>
  <si>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</si>
  <si>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</si>
  <si>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</si>
  <si>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</si>
  <si>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</si>
  <si>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</si>
  <si>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</si>
  <si>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</si>
  <si>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</si>
  <si>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</si>
  <si>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</si>
  <si>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</si>
  <si>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</si>
  <si>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</si>
  <si>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</si>
  <si>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</si>
  <si>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</si>
  <si>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</si>
  <si>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</si>
  <si>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</si>
  <si>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</si>
  <si>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</si>
  <si>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</si>
  <si>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</si>
  <si>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</si>
  <si>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</si>
  <si>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</si>
  <si>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</si>
  <si>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</si>
  <si>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</si>
  <si>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</si>
  <si>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</si>
  <si>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</si>
  <si>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</si>
  <si>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</si>
  <si>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</si>
  <si>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</si>
  <si>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</si>
  <si>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</si>
  <si>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</si>
  <si>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</si>
  <si>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</si>
  <si>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</si>
  <si>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</si>
  <si>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</si>
  <si>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</si>
  <si>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</si>
  <si>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</si>
  <si>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</si>
  <si>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</si>
  <si>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</si>
  <si>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</si>
  <si>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</si>
  <si>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</si>
  <si>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</si>
  <si>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</si>
  <si>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</si>
  <si>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</si>
  <si>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</si>
  <si>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</si>
  <si>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</si>
  <si>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</si>
  <si>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</si>
  <si>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</si>
  <si>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</si>
  <si>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</si>
  <si>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</si>
  <si>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</si>
  <si>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</si>
  <si>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</si>
  <si>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</si>
  <si>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</si>
  <si>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</si>
  <si>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</si>
  <si>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</si>
  <si>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</si>
  <si>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</si>
  <si>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</si>
  <si>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</si>
  <si>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</si>
  <si>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</si>
  <si>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</si>
  <si>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</si>
  <si>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</si>
  <si>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</si>
  <si>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</si>
  <si>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</si>
  <si>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</si>
  <si>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</si>
  <si>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</si>
  <si>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</si>
  <si>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</si>
  <si>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</si>
  <si>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</si>
  <si>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</si>
  <si>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</si>
  <si>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</si>
  <si>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</si>
  <si>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</si>
  <si>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</si>
  <si>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</si>
  <si>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</si>
  <si>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</si>
  <si>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</si>
  <si>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</si>
  <si>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</si>
  <si>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</si>
  <si>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</si>
  <si>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</si>
  <si>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</si>
  <si>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</si>
  <si>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</si>
  <si>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</si>
  <si>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</si>
  <si>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</si>
  <si>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</si>
  <si>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</si>
  <si>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</si>
  <si>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</si>
  <si>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</si>
  <si>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</si>
  <si>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</si>
  <si>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</si>
  <si>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</si>
  <si>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</si>
  <si>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</si>
  <si>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</si>
  <si>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</si>
  <si>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</si>
  <si>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</si>
  <si>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</si>
  <si>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</si>
  <si>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</si>
  <si>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</si>
  <si>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</si>
  <si>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</si>
  <si>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</si>
  <si>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</si>
  <si>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</si>
  <si>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</si>
  <si>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</si>
  <si>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</si>
  <si>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</si>
  <si>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</si>
  <si>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</si>
  <si>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</si>
  <si>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</si>
  <si>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</si>
  <si>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</si>
  <si>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</si>
  <si>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</si>
  <si>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</si>
  <si>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</si>
  <si>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</si>
  <si>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</si>
  <si>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</si>
  <si>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</si>
  <si>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</si>
  <si>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</si>
  <si>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</si>
  <si>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</si>
  <si>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</si>
  <si>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</si>
  <si>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</si>
  <si>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</si>
  <si>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</si>
  <si>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</si>
  <si>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</si>
  <si>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</si>
  <si>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</si>
  <si>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</si>
  <si>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</si>
  <si>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</si>
  <si>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</si>
  <si>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</si>
  <si>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</si>
  <si>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</si>
  <si>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</si>
  <si>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</si>
  <si>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</si>
  <si>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</si>
  <si>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</si>
  <si>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</si>
  <si>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</si>
  <si>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</si>
  <si>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</si>
  <si>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</si>
  <si>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</si>
  <si>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</si>
  <si>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</si>
  <si>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</si>
  <si>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</si>
  <si>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</si>
  <si>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</si>
  <si>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</si>
  <si>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</si>
  <si>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</si>
  <si>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</si>
  <si>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</si>
  <si>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</si>
  <si>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</si>
  <si>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</si>
  <si>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</si>
  <si>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</si>
  <si>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</si>
  <si>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</si>
  <si>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</si>
  <si>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</si>
  <si>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</si>
  <si>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</si>
  <si>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</si>
  <si>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</si>
  <si>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</si>
  <si>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</si>
  <si>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</si>
  <si>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</si>
  <si>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</si>
  <si>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</si>
  <si>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</si>
  <si>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</si>
  <si>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</si>
  <si>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</si>
  <si>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</si>
  <si>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</si>
  <si>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</si>
  <si>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</si>
  <si>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</si>
  <si>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</si>
  <si>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</si>
  <si>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</si>
  <si>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</si>
  <si>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</si>
  <si>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</si>
  <si>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</si>
  <si>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</si>
  <si>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</si>
  <si>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</si>
  <si>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</si>
  <si>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</si>
  <si>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</si>
  <si>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</si>
  <si>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</si>
  <si>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</si>
  <si>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</si>
  <si>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</si>
  <si>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</si>
  <si>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</si>
  <si>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</si>
  <si>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</si>
  <si>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</si>
  <si>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</si>
  <si>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</si>
  <si>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</si>
  <si>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</si>
  <si>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</si>
  <si>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</si>
  <si>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</si>
  <si>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</si>
  <si>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</si>
  <si>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</si>
  <si>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</si>
  <si>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</si>
  <si>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</si>
  <si>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</si>
  <si>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</si>
  <si>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</si>
  <si>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</si>
  <si>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</si>
  <si>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</si>
  <si>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</si>
  <si>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</si>
  <si>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</si>
  <si>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</si>
  <si>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</si>
  <si>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</si>
  <si>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</si>
  <si>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</si>
  <si>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</si>
  <si>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</si>
  <si>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</si>
  <si>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</si>
  <si>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</si>
  <si>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</si>
  <si>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</si>
  <si>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</si>
  <si>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</si>
  <si>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</si>
  <si>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</si>
  <si>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</si>
  <si>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</si>
  <si>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</si>
  <si>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</si>
  <si>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</si>
  <si>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</si>
  <si>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</si>
  <si>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</si>
  <si>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</si>
  <si>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</si>
  <si>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</si>
  <si>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</si>
  <si>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</si>
  <si>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</si>
  <si>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</si>
  <si>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</si>
  <si>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</si>
  <si>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</si>
  <si>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</si>
  <si>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</si>
  <si>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</si>
  <si>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</si>
  <si>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</si>
  <si>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</si>
  <si>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</si>
  <si>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</si>
  <si>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</si>
  <si>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</si>
  <si>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</si>
  <si>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</si>
  <si>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</si>
  <si>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</si>
  <si>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</si>
  <si>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</si>
  <si>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</si>
  <si>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</si>
  <si>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</si>
  <si>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</si>
  <si>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</si>
  <si>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</si>
  <si>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</si>
  <si>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</si>
  <si>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</si>
  <si>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</si>
  <si>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</si>
  <si>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</si>
  <si>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</si>
  <si>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</si>
  <si>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</si>
  <si>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</si>
  <si>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</si>
  <si>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</si>
  <si>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</si>
  <si>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</si>
  <si>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</si>
  <si>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</si>
  <si>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</si>
  <si>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</si>
  <si>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</si>
  <si>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</si>
  <si>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</si>
  <si>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</si>
  <si>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</si>
  <si>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</si>
  <si>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</si>
  <si>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</si>
  <si>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</si>
  <si>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</si>
  <si>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</si>
  <si>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</si>
  <si>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</si>
  <si>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</si>
  <si>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</si>
  <si>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</si>
  <si>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</si>
  <si>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</si>
  <si>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</si>
  <si>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</si>
  <si>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</si>
  <si>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</si>
  <si>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</si>
  <si>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</si>
  <si>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</si>
  <si>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</si>
  <si>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</si>
  <si>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</si>
  <si>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</si>
  <si>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</si>
  <si>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</si>
  <si>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</si>
  <si>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</si>
  <si>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</si>
  <si>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</si>
  <si>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</si>
  <si>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</si>
  <si>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</si>
  <si>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</si>
  <si>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</si>
  <si>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</si>
  <si>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</si>
  <si>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</si>
  <si>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</si>
  <si>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</si>
  <si>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</si>
  <si>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</si>
  <si>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</si>
  <si>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</si>
  <si>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</si>
  <si>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</si>
  <si>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</si>
  <si>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</si>
  <si>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</si>
  <si>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</si>
  <si>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</si>
  <si>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</si>
  <si>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</si>
  <si>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</si>
  <si>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</si>
  <si>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</si>
  <si>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</si>
  <si>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</si>
  <si>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</si>
  <si>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</si>
  <si>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</si>
  <si>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</si>
  <si>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</si>
  <si>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</si>
  <si>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</si>
  <si>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</si>
  <si>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</si>
  <si>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</si>
  <si>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</si>
  <si>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</si>
  <si>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</si>
  <si>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</si>
  <si>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</si>
  <si>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</si>
  <si>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</si>
  <si>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</si>
  <si>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</si>
  <si>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</si>
  <si>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</si>
  <si>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</si>
  <si>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</si>
  <si>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</si>
  <si>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</si>
  <si>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</si>
  <si>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</si>
  <si>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</si>
  <si>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</si>
  <si>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</si>
  <si>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</si>
  <si>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</si>
  <si>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</si>
  <si>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</si>
  <si>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</si>
  <si>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</si>
  <si>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</si>
  <si>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</si>
  <si>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</si>
  <si>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</si>
  <si>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</si>
  <si>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</si>
  <si>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</si>
  <si>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</si>
  <si>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</si>
  <si>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</si>
  <si>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</si>
  <si>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</si>
  <si>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</si>
  <si>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</si>
  <si>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</si>
  <si>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</si>
  <si>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</si>
  <si>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</si>
  <si>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</si>
  <si>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</si>
  <si>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</si>
  <si>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</si>
  <si>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</si>
  <si>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</si>
  <si>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</si>
  <si>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</si>
  <si>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</si>
  <si>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</si>
  <si>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</si>
  <si>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</si>
  <si>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</si>
  <si>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</si>
  <si>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</si>
  <si>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</si>
  <si>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</si>
  <si>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</si>
  <si>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</si>
  <si>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</si>
  <si>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</si>
  <si>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</si>
  <si>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</si>
  <si>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</si>
  <si>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</si>
  <si>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</si>
  <si>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</si>
  <si>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</si>
  <si>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</si>
  <si>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</si>
  <si>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</si>
  <si>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</si>
  <si>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</si>
  <si>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</si>
  <si>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</si>
  <si>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</si>
  <si>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</si>
  <si>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</si>
  <si>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</si>
  <si>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</si>
  <si>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</si>
  <si>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</si>
  <si>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</si>
  <si>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</si>
  <si>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</si>
  <si>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</si>
  <si>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</si>
  <si>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</si>
  <si>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</si>
  <si>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</si>
  <si>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</si>
  <si>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</si>
  <si>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</si>
  <si>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</si>
  <si>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</si>
  <si>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</si>
  <si>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</si>
  <si>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</si>
  <si>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</si>
  <si>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</si>
  <si>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</si>
  <si>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</si>
  <si>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</si>
  <si>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</si>
  <si>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</si>
  <si>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</si>
  <si>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</si>
  <si>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</si>
  <si>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</si>
  <si>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</si>
  <si>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</si>
  <si>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</si>
  <si>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</si>
  <si>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</si>
  <si>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</si>
  <si>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</si>
  <si>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</si>
  <si>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</si>
  <si>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</si>
  <si>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</si>
  <si>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</si>
  <si>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</si>
  <si>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</si>
  <si>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</si>
  <si>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</si>
  <si>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</si>
  <si>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</si>
  <si>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</si>
  <si>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</si>
  <si>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</si>
  <si>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</si>
  <si>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</si>
  <si>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</si>
  <si>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</si>
  <si>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</si>
  <si>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</si>
  <si>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</si>
  <si>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</si>
  <si>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</si>
  <si>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</si>
  <si>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</si>
  <si>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</si>
  <si>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</si>
  <si>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</si>
  <si>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</si>
  <si>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</si>
  <si>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</si>
  <si>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</si>
  <si>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</si>
  <si>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</si>
  <si>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</si>
  <si>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</si>
  <si>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</si>
  <si>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</si>
  <si>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</si>
  <si>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</si>
  <si>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</si>
  <si>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</si>
  <si>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</si>
  <si>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</si>
  <si>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</si>
  <si>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</si>
  <si>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</si>
  <si>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</si>
  <si>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</si>
  <si>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</si>
  <si>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</si>
  <si>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</si>
  <si>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</si>
  <si>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</si>
  <si>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</si>
  <si>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</si>
  <si>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</si>
  <si>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</si>
  <si>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</si>
  <si>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</si>
  <si>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</si>
  <si>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</si>
  <si>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</si>
  <si>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</si>
  <si>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</si>
  <si>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</si>
  <si>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</si>
  <si>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</si>
  <si>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</si>
  <si>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</si>
  <si>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</si>
  <si>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</si>
  <si>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</si>
  <si>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</si>
  <si>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</si>
  <si>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</si>
  <si>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</si>
  <si>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</si>
  <si>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</si>
  <si>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</si>
  <si>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</si>
  <si>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</si>
  <si>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</si>
  <si>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</si>
  <si>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</si>
  <si>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</si>
  <si>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</si>
  <si>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</si>
  <si>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</si>
  <si>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</si>
  <si>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</si>
  <si>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</si>
  <si>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</si>
  <si>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</si>
  <si>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</si>
  <si>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</si>
  <si>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</si>
  <si>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</si>
  <si>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</si>
  <si>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</si>
  <si>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</si>
  <si>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</si>
  <si>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</si>
  <si>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</si>
  <si>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</si>
  <si>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</si>
  <si>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</si>
  <si>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</si>
  <si>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</si>
  <si>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</si>
  <si>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</si>
  <si>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</si>
  <si>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</si>
  <si>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</si>
  <si>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</si>
  <si>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</si>
  <si>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</si>
  <si>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</si>
  <si>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</si>
  <si>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</si>
  <si>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</si>
  <si>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</si>
  <si>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</si>
  <si>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</si>
  <si>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</si>
  <si>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</si>
  <si>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</si>
  <si>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</si>
  <si>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</si>
  <si>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</si>
  <si>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</si>
  <si>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</si>
  <si>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</si>
  <si>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</si>
  <si>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</si>
  <si>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</si>
  <si>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</si>
  <si>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</si>
  <si>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</si>
  <si>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</si>
  <si>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</si>
  <si>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</si>
  <si>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</si>
  <si>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</si>
  <si>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</si>
  <si>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</si>
  <si>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</si>
  <si>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</si>
  <si>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</si>
  <si>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</si>
  <si>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</si>
  <si>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</si>
  <si>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</si>
  <si>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</si>
  <si>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</si>
  <si>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</si>
  <si>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</si>
  <si>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</si>
  <si>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</si>
  <si>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</si>
  <si>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</si>
  <si>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</si>
  <si>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</si>
  <si>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</si>
  <si>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</si>
  <si>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</si>
  <si>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</si>
  <si>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</si>
  <si>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</si>
  <si>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</si>
  <si>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</si>
  <si>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</si>
  <si>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</si>
  <si>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</si>
  <si>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</si>
  <si>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</si>
  <si>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</si>
  <si>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</si>
  <si>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</si>
  <si>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</si>
  <si>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</si>
  <si>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</si>
  <si>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</si>
  <si>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</si>
  <si>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</si>
  <si>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</si>
  <si>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</si>
  <si>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</si>
  <si>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</si>
  <si>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</si>
  <si>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</si>
  <si>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</si>
  <si>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</si>
  <si>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</si>
  <si>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</si>
  <si>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</si>
  <si>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</si>
  <si>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</si>
  <si>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</si>
  <si>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</si>
  <si>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</si>
  <si>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</si>
  <si>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</si>
  <si>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</si>
  <si>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</si>
  <si>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</si>
  <si>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</si>
  <si>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</si>
  <si>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</si>
  <si>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</si>
  <si>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</si>
  <si>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</si>
  <si>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</si>
  <si>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</si>
  <si>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</si>
  <si>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</si>
  <si>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</si>
  <si>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</si>
  <si>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</si>
  <si>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</si>
  <si>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</si>
  <si>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</si>
  <si>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</si>
  <si>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</si>
  <si>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</si>
  <si>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</si>
  <si>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</si>
  <si>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</si>
  <si>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</si>
  <si>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</si>
  <si>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</si>
  <si>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</si>
  <si>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</si>
  <si>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</si>
  <si>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</si>
  <si>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</si>
  <si>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</si>
  <si>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</si>
  <si>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</si>
  <si>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</si>
  <si>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</si>
  <si>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</si>
  <si>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</si>
  <si>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</si>
  <si>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</si>
  <si>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</si>
  <si>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</si>
  <si>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</si>
  <si>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</si>
  <si>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</si>
  <si>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</si>
  <si>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</si>
  <si>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</si>
  <si>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</si>
  <si>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</si>
  <si>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</si>
  <si>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</si>
  <si>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</si>
  <si>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</si>
  <si>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</si>
  <si>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</si>
  <si>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</si>
  <si>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</si>
  <si>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</si>
  <si>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</si>
  <si>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</si>
  <si>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</si>
  <si>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</si>
  <si>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</si>
  <si>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</si>
  <si>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</si>
  <si>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</si>
  <si>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</si>
  <si>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</si>
  <si>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</si>
  <si>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</si>
  <si>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</si>
  <si>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</si>
  <si>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</si>
  <si>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</si>
  <si>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</si>
  <si>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</si>
  <si>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</si>
  <si>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</si>
  <si>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</si>
  <si>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</si>
  <si>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</si>
  <si>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</si>
  <si>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</si>
  <si>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</si>
  <si>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</si>
  <si>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</si>
  <si>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</si>
  <si>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</si>
  <si>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</si>
  <si>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</si>
  <si>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</si>
  <si>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</si>
  <si>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</si>
  <si>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</si>
  <si>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</si>
  <si>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</si>
  <si>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</si>
  <si>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</si>
  <si>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</si>
  <si>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</si>
  <si>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</si>
  <si>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</si>
  <si>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</si>
  <si>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</si>
  <si>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</si>
  <si>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</si>
  <si>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</si>
  <si>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</si>
  <si>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</si>
  <si>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</si>
  <si>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</si>
  <si>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</si>
  <si>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</si>
  <si>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</si>
  <si>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</si>
  <si>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</si>
  <si>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</si>
  <si>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</si>
  <si>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</si>
  <si>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</si>
  <si>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</si>
  <si>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</si>
  <si>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</si>
  <si>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</si>
  <si>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</si>
  <si>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</si>
  <si>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</si>
  <si>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</si>
  <si>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</si>
  <si>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</si>
  <si>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</si>
  <si>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</si>
  <si>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</si>
  <si>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</si>
  <si>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</si>
  <si>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</si>
  <si>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</si>
  <si>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</si>
  <si>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</si>
  <si>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</si>
  <si>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</si>
  <si>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</si>
  <si>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</si>
  <si>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</si>
  <si>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</si>
  <si>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</si>
  <si>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</si>
  <si>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</si>
  <si>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</si>
  <si>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</si>
  <si>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</si>
  <si>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</si>
  <si>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</si>
  <si>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</si>
  <si>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</si>
  <si>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</si>
  <si>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</si>
  <si>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</si>
  <si>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</si>
  <si>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</si>
  <si>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</si>
  <si>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</si>
  <si>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</si>
  <si>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</si>
  <si>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</si>
  <si>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</si>
  <si>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</si>
  <si>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</si>
  <si>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</si>
  <si>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</si>
  <si>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</si>
  <si>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</si>
  <si>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</si>
  <si>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</si>
  <si>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</si>
  <si>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</si>
  <si>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</si>
  <si>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</si>
  <si>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</si>
  <si>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</si>
  <si>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</si>
  <si>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</si>
  <si>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</si>
  <si>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</si>
  <si>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</si>
  <si>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</si>
  <si>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</si>
  <si>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</si>
  <si>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</si>
  <si>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</si>
  <si>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</si>
  <si>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</si>
  <si>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</si>
  <si>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</si>
  <si>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</si>
  <si>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</si>
  <si>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</si>
  <si>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</si>
  <si>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</si>
  <si>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</si>
  <si>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</si>
  <si>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</si>
  <si>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</si>
  <si>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</si>
  <si>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</si>
  <si>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</si>
  <si>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</si>
  <si>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</si>
  <si>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</si>
  <si>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</si>
  <si>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</si>
  <si>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</si>
  <si>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</si>
  <si>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</si>
  <si>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</si>
  <si>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</si>
  <si>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</si>
  <si>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</si>
  <si>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</si>
  <si>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</si>
  <si>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</si>
  <si>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</si>
  <si>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</si>
  <si>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</si>
  <si>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</si>
  <si>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</si>
  <si>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</si>
  <si>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</si>
  <si>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</si>
  <si>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</si>
  <si>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</si>
  <si>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</si>
  <si>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</si>
  <si>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</si>
  <si>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</si>
  <si>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</si>
  <si>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</si>
  <si>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</si>
  <si>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</si>
  <si>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</si>
  <si>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</si>
  <si>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</si>
  <si>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</si>
  <si>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</si>
  <si>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</si>
  <si>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</si>
  <si>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</si>
  <si>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</si>
  <si>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</si>
  <si>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</si>
  <si>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</si>
  <si>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</si>
  <si>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</si>
  <si>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</si>
  <si>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</si>
  <si>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</si>
  <si>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</si>
  <si>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</si>
  <si>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</si>
  <si>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</si>
  <si>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</si>
  <si>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</si>
  <si>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</si>
  <si>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</si>
  <si>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</si>
  <si>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</si>
  <si>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</si>
  <si>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</si>
  <si>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</si>
  <si>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</si>
  <si>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</si>
  <si>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</si>
  <si>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</si>
  <si>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</si>
  <si>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</si>
  <si>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</si>
  <si>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</si>
  <si>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</si>
  <si>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</si>
  <si>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</si>
  <si>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</si>
  <si>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</si>
  <si>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</si>
  <si>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</si>
  <si>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</si>
  <si>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</si>
  <si>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</si>
  <si>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</si>
  <si>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</si>
  <si>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</si>
  <si>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</si>
  <si>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</si>
  <si>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</si>
  <si>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</si>
  <si>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</si>
  <si>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</si>
  <si>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</si>
  <si>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</si>
  <si>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</si>
  <si>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</si>
  <si>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</si>
  <si>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</si>
  <si>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</si>
  <si>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</si>
  <si>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</si>
  <si>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</si>
  <si>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</si>
  <si>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</si>
  <si>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</si>
  <si>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</si>
  <si>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</si>
  <si>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</si>
  <si>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</si>
  <si>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</si>
  <si>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</si>
  <si>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</si>
  <si>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</si>
  <si>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</si>
  <si>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</si>
  <si>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</si>
  <si>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</si>
  <si>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</si>
  <si>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</si>
  <si>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</si>
  <si>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</si>
  <si>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</si>
  <si>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</si>
  <si>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</si>
  <si>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</si>
  <si>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</si>
  <si>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</si>
  <si>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</si>
  <si>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</si>
  <si>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</si>
  <si>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</si>
  <si>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</si>
  <si>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</si>
  <si>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</si>
  <si>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</si>
  <si>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</si>
  <si>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</si>
  <si>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</si>
  <si>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</si>
  <si>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</si>
  <si>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</si>
  <si>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</si>
  <si>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</si>
  <si>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</si>
  <si>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</si>
  <si>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</si>
  <si>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</si>
  <si>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</si>
  <si>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</si>
  <si>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</si>
  <si>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</si>
  <si>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</si>
  <si>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</si>
  <si>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</si>
  <si>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</si>
  <si>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</si>
  <si>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</si>
  <si>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</si>
  <si>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</si>
  <si>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</si>
  <si>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</si>
  <si>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</si>
  <si>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</si>
  <si>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</si>
  <si>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</si>
  <si>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</si>
  <si>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</si>
  <si>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</si>
  <si>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</si>
  <si>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</si>
  <si>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</si>
  <si>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</si>
  <si>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</si>
  <si>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</si>
  <si>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</si>
  <si>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</si>
  <si>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</si>
  <si>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</si>
  <si>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</si>
  <si>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</si>
  <si>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</si>
  <si>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</si>
  <si>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</si>
  <si>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</si>
  <si>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</si>
  <si>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</si>
  <si>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</si>
  <si>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</si>
  <si>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</si>
  <si>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</si>
  <si>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</si>
  <si>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</si>
  <si>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</si>
  <si>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</si>
  <si>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</si>
  <si>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</si>
  <si>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</si>
  <si>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</si>
  <si>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</si>
  <si>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</si>
  <si>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</si>
  <si>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</si>
  <si>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</si>
  <si>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</si>
  <si>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</si>
  <si>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</si>
  <si>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</si>
  <si>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</si>
  <si>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</si>
  <si>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</si>
  <si>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</si>
  <si>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</si>
  <si>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</si>
  <si>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</si>
  <si>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</si>
  <si>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</si>
  <si>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</si>
  <si>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</si>
  <si>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</si>
  <si>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</si>
  <si>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</si>
  <si>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</si>
  <si>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</si>
  <si>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</si>
  <si>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</si>
  <si>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</si>
  <si>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</si>
  <si>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</si>
  <si>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</si>
  <si>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</si>
  <si>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</si>
  <si>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</si>
  <si>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</si>
  <si>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</si>
  <si>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</si>
  <si>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</si>
  <si>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</si>
  <si>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</si>
  <si>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</si>
  <si>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</si>
  <si>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</si>
  <si>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</si>
  <si>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</si>
  <si>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</si>
  <si>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</si>
  <si>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</si>
  <si>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</si>
  <si>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</si>
  <si>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</si>
  <si>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</si>
  <si>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</si>
  <si>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</si>
  <si>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</si>
  <si>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</si>
  <si>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</si>
  <si>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</si>
  <si>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</si>
  <si>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</si>
  <si>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</si>
  <si>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</si>
  <si>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</si>
  <si>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</si>
  <si>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</si>
  <si>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</si>
  <si>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</si>
  <si>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</si>
  <si>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</si>
  <si>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</si>
  <si>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</si>
  <si>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</si>
  <si>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</si>
  <si>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</si>
  <si>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</si>
  <si>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</si>
  <si>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</si>
  <si>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</si>
  <si>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</si>
  <si>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</si>
  <si>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</si>
  <si>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</si>
  <si>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</si>
  <si>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</si>
  <si>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</si>
  <si>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</si>
  <si>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</si>
  <si>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</si>
  <si>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</si>
  <si>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</si>
  <si>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</si>
  <si>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</si>
  <si>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</si>
  <si>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</si>
  <si>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</si>
  <si>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</si>
  <si>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</si>
  <si>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</si>
  <si>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</si>
  <si>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</si>
  <si>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</si>
  <si>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</si>
  <si>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</si>
  <si>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</si>
  <si>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</si>
  <si>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</si>
  <si>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</si>
  <si>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</si>
  <si>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</si>
  <si>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</si>
  <si>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</si>
  <si>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</si>
  <si>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</si>
  <si>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</si>
  <si>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</si>
  <si>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</si>
  <si>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</si>
  <si>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</si>
  <si>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</si>
  <si>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</si>
  <si>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</si>
  <si>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</si>
  <si>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</si>
  <si>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</si>
  <si>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</si>
  <si>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</si>
  <si>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</si>
  <si>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</si>
  <si>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</si>
  <si>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</si>
  <si>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</si>
  <si>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</si>
  <si>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</si>
  <si>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</si>
  <si>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</si>
  <si>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</si>
  <si>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</si>
  <si>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</si>
  <si>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</si>
  <si>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</si>
  <si>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</si>
  <si>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</si>
  <si>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</si>
  <si>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</si>
  <si>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</si>
  <si>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</si>
  <si>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</si>
  <si>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</si>
  <si>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</si>
  <si>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</si>
  <si>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</si>
  <si>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</si>
  <si>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</si>
  <si>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</si>
  <si>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</si>
  <si>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</si>
  <si>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</si>
  <si>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</si>
  <si>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</si>
  <si>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</si>
  <si>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</si>
  <si>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</si>
  <si>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</si>
  <si>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</si>
  <si>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</si>
  <si>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</si>
  <si>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</si>
  <si>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</si>
  <si>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</si>
  <si>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</si>
  <si>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</si>
  <si>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</si>
  <si>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</si>
  <si>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</si>
  <si>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</si>
  <si>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</si>
  <si>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</si>
  <si>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</si>
  <si>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</si>
  <si>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</si>
  <si>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</si>
  <si>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</si>
  <si>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</si>
  <si>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</si>
  <si>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</si>
  <si>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</si>
  <si>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</si>
  <si>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</si>
  <si>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</si>
  <si>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</si>
  <si>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</si>
  <si>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</si>
  <si>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</si>
  <si>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</si>
  <si>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</si>
  <si>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</si>
  <si>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</si>
  <si>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</si>
  <si>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</si>
  <si>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</si>
  <si>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</si>
  <si>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</si>
  <si>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</si>
  <si>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</si>
  <si>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</si>
  <si>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</si>
  <si>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</si>
  <si>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</si>
  <si>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</si>
  <si>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</si>
  <si>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</si>
  <si>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</si>
  <si>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</si>
  <si>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</si>
  <si>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</si>
  <si>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</si>
  <si>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</si>
  <si>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</si>
  <si>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</si>
  <si>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</si>
  <si>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</si>
  <si>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</si>
  <si>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</si>
  <si>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</si>
  <si>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</si>
  <si>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</si>
  <si>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</si>
  <si>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</si>
  <si>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</si>
  <si>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</si>
  <si>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</si>
  <si>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</si>
  <si>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</si>
  <si>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</si>
  <si>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</si>
  <si>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</si>
  <si>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</si>
  <si>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</si>
  <si>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</si>
  <si>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</si>
  <si>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</si>
  <si>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</si>
  <si>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</si>
  <si>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</si>
  <si>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</si>
  <si>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</si>
  <si>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</si>
  <si>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</si>
  <si>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</si>
  <si>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</si>
  <si>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</si>
  <si>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</si>
  <si>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</si>
  <si>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</si>
  <si>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</si>
  <si>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</si>
  <si>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</si>
  <si>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</si>
  <si>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</si>
  <si>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</si>
  <si>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</si>
  <si>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</si>
  <si>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</si>
  <si>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</si>
  <si>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</si>
  <si>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</si>
  <si>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</si>
  <si>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</si>
  <si>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</si>
  <si>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</si>
  <si>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</si>
  <si>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</si>
  <si>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</si>
  <si>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</si>
  <si>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</si>
  <si>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</si>
  <si>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</si>
  <si>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</si>
  <si>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</si>
  <si>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</si>
  <si>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</si>
  <si>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</si>
  <si>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</si>
  <si>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</si>
  <si>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</si>
  <si>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</si>
  <si>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</si>
  <si>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</si>
  <si>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</si>
  <si>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</si>
  <si>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</si>
  <si>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</si>
  <si>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</si>
  <si>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</si>
  <si>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</si>
  <si>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</si>
  <si>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</si>
  <si>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</si>
  <si>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</si>
  <si>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</si>
  <si>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</si>
  <si>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</si>
  <si>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</si>
  <si>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</si>
  <si>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</si>
  <si>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</si>
  <si>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</si>
  <si>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</si>
  <si>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</si>
  <si>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</si>
  <si>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</si>
  <si>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</si>
  <si>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</si>
  <si>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</si>
  <si>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</si>
  <si>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</si>
  <si>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</si>
  <si>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</si>
  <si>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</si>
  <si>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</si>
  <si>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</si>
  <si>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</si>
  <si>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</si>
  <si>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</si>
  <si>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</si>
  <si>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</si>
  <si>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</si>
  <si>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</si>
  <si>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</si>
  <si>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</si>
  <si>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</si>
  <si>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</si>
  <si>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</si>
  <si>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</si>
  <si>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</si>
  <si>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</si>
  <si>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</si>
  <si>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</si>
  <si>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</si>
  <si>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</si>
  <si>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</si>
  <si>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</si>
  <si>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</si>
  <si>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</si>
  <si>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</si>
  <si>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</si>
  <si>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</si>
  <si>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</si>
  <si>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</si>
  <si>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</si>
  <si>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</si>
  <si>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</si>
  <si>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</si>
  <si>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</si>
  <si>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</si>
  <si>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</si>
  <si>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</si>
  <si>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</si>
  <si>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</si>
  <si>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</si>
  <si>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</si>
  <si>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</si>
  <si>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</si>
  <si>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</si>
  <si>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</si>
  <si>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</si>
  <si>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</si>
  <si>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</si>
  <si>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</si>
  <si>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</si>
  <si>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</si>
  <si>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</si>
  <si>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</si>
  <si>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</si>
  <si>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</si>
  <si>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</si>
  <si>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</si>
  <si>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</si>
  <si>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</si>
  <si>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</si>
  <si>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</si>
  <si>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</si>
  <si>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</si>
  <si>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</si>
  <si>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</si>
  <si>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</si>
  <si>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</si>
  <si>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</si>
  <si>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</si>
  <si>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</si>
  <si>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</si>
  <si>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</si>
  <si>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</si>
  <si>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</si>
  <si>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</si>
  <si>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</si>
  <si>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</si>
  <si>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</si>
  <si>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</si>
  <si>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</si>
  <si>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</si>
  <si>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</si>
  <si>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</si>
  <si>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</si>
  <si>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</si>
  <si>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</si>
  <si>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</si>
  <si>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</si>
  <si>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</si>
  <si>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</si>
  <si>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</si>
  <si>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</si>
  <si>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</si>
  <si>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</si>
  <si>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</si>
  <si>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</si>
  <si>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</si>
  <si>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</si>
  <si>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</si>
  <si>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</si>
  <si>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</si>
  <si>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</si>
  <si>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</si>
  <si>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</si>
  <si>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</si>
  <si>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</si>
  <si>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</si>
  <si>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</si>
  <si>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</si>
  <si>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</si>
  <si>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</si>
  <si>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</si>
  <si>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</si>
  <si>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</si>
  <si>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</si>
  <si>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</si>
  <si>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</si>
  <si>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</si>
  <si>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</si>
  <si>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</si>
  <si>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</si>
  <si>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</si>
  <si>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</si>
  <si>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</si>
  <si>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</si>
  <si>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</si>
  <si>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</si>
  <si>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</si>
  <si>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</si>
  <si>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</si>
  <si>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</si>
  <si>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</si>
  <si>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</si>
  <si>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</si>
  <si>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</si>
  <si>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</si>
  <si>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</si>
  <si>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</si>
  <si>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</si>
  <si>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</si>
  <si>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</si>
  <si>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</si>
  <si>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</si>
  <si>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</si>
  <si>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</si>
  <si>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</si>
  <si>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</si>
  <si>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</si>
  <si>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</si>
  <si>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</si>
  <si>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</si>
  <si>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</si>
  <si>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</si>
  <si>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</si>
  <si>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</si>
  <si>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</si>
  <si>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</si>
  <si>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</si>
  <si>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</si>
  <si>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</si>
  <si>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</si>
  <si>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</si>
  <si>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</si>
  <si>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</si>
  <si>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</si>
  <si>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</si>
  <si>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</si>
  <si>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</si>
  <si>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</si>
  <si>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</si>
  <si>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</si>
  <si>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</si>
  <si>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</si>
  <si>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</si>
  <si>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</si>
  <si>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</si>
  <si>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</si>
  <si>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</si>
  <si>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</si>
  <si>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</si>
  <si>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</si>
  <si>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</si>
  <si>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</si>
  <si>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</si>
  <si>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</si>
  <si>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</si>
  <si>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</si>
  <si>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</si>
  <si>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</si>
  <si>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</si>
  <si>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</si>
  <si>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</si>
  <si>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</si>
  <si>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</si>
  <si>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</si>
  <si>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</si>
  <si>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</si>
  <si>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</si>
  <si>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</si>
  <si>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</si>
  <si>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</si>
  <si>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</si>
  <si>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</si>
  <si>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</si>
  <si>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</si>
  <si>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</si>
  <si>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</si>
  <si>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</si>
  <si>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</si>
  <si>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</si>
  <si>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</si>
  <si>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</si>
  <si>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</si>
  <si>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</si>
  <si>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</si>
  <si>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</si>
  <si>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</si>
  <si>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</si>
  <si>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</si>
  <si>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</si>
  <si>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</si>
  <si>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</si>
  <si>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</si>
  <si>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</si>
  <si>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</si>
  <si>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</si>
  <si>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</si>
  <si>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</si>
  <si>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</si>
  <si>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</si>
  <si>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</si>
  <si>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</si>
  <si>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</si>
  <si>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</si>
  <si>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</si>
  <si>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</si>
  <si>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</si>
  <si>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</si>
  <si>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</si>
  <si>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</si>
  <si>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</si>
  <si>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</si>
  <si>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</si>
  <si>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</si>
  <si>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</si>
  <si>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</si>
  <si>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</si>
  <si>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</si>
  <si>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</si>
  <si>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</si>
  <si>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</si>
  <si>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</si>
  <si>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</si>
  <si>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</si>
  <si>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</si>
  <si>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</si>
  <si>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</si>
  <si>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</si>
  <si>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</si>
  <si>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</si>
  <si>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</si>
  <si>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</si>
  <si>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</si>
  <si>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</si>
  <si>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</si>
  <si>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</si>
  <si>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</si>
  <si>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</si>
  <si>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</si>
  <si>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</si>
  <si>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</si>
  <si>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</si>
  <si>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</si>
  <si>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</si>
  <si>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</si>
  <si>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</si>
  <si>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</si>
  <si>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</si>
  <si>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</si>
  <si>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</si>
  <si>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</si>
  <si>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</si>
  <si>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</si>
  <si>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</si>
  <si>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</si>
  <si>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</si>
  <si>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</si>
  <si>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</si>
  <si>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</si>
  <si>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</si>
  <si>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</si>
  <si>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</si>
  <si>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</si>
  <si>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</si>
  <si>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</si>
  <si>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</si>
  <si>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</si>
  <si>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</si>
  <si>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</si>
  <si>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</si>
  <si>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</si>
  <si>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</si>
  <si>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</si>
  <si>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</si>
  <si>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</si>
  <si>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</si>
  <si>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</si>
  <si>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</si>
  <si>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</si>
  <si>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</si>
  <si>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</si>
  <si>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</si>
  <si>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</si>
  <si>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</si>
  <si>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</si>
  <si>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</si>
  <si>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</si>
  <si>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</si>
  <si>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</si>
  <si>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</si>
  <si>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</si>
  <si>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</si>
  <si>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</si>
  <si>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</si>
  <si>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</si>
  <si>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</si>
  <si>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</si>
  <si>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</si>
  <si>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</si>
  <si>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</si>
  <si>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</si>
  <si>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</si>
  <si>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</si>
  <si>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</si>
  <si>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</si>
  <si>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</si>
  <si>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</si>
  <si>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</si>
  <si>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</si>
  <si>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</si>
  <si>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</si>
  <si>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</si>
  <si>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</si>
  <si>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</si>
  <si>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</si>
  <si>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</si>
  <si>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</si>
  <si>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</si>
  <si>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</si>
  <si>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</si>
  <si>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</si>
  <si>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</si>
  <si>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</si>
  <si>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</si>
  <si>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</si>
  <si>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</si>
  <si>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</si>
  <si>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</si>
  <si>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</si>
  <si>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</si>
  <si>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</si>
  <si>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</si>
  <si>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</si>
  <si>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</si>
  <si>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</si>
  <si>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</si>
  <si>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</si>
  <si>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</si>
  <si>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</si>
  <si>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</si>
  <si>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</si>
  <si>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</si>
  <si>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</si>
  <si>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</si>
  <si>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</si>
  <si>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</si>
  <si>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</si>
  <si>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</si>
  <si>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</si>
  <si>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</si>
  <si>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</si>
  <si>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</si>
  <si>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</si>
  <si>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</si>
  <si>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</si>
  <si>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</si>
  <si>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</si>
  <si>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</si>
  <si>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</si>
  <si>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</si>
  <si>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</si>
  <si>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</si>
  <si>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</si>
  <si>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</si>
  <si>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</si>
  <si>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</si>
  <si>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</si>
  <si>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</si>
  <si>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</si>
  <si>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</si>
  <si>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</si>
  <si>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</si>
  <si>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</si>
  <si>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</si>
  <si>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</si>
  <si>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</si>
  <si>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</si>
  <si>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</si>
  <si>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</si>
  <si>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</si>
  <si>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</si>
  <si>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</si>
  <si>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</si>
  <si>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</si>
  <si>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</si>
  <si>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</si>
  <si>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</si>
  <si>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</si>
  <si>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</si>
  <si>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</si>
  <si>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</si>
  <si>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</si>
  <si>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</si>
  <si>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</si>
  <si>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</si>
  <si>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</si>
  <si>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</si>
  <si>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</si>
  <si>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</si>
  <si>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</si>
  <si>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</si>
  <si>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</si>
  <si>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</si>
  <si>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</si>
  <si>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</si>
  <si>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</si>
  <si>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</si>
  <si>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</si>
  <si>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</si>
  <si>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</si>
  <si>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</si>
  <si>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</si>
  <si>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</si>
  <si>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</si>
  <si>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</si>
  <si>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</si>
  <si>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</si>
  <si>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</si>
  <si>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</si>
  <si>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</si>
  <si>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</si>
  <si>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</si>
  <si>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</si>
  <si>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</si>
  <si>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</si>
  <si>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</si>
  <si>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</si>
  <si>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</si>
  <si>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</si>
  <si>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</si>
  <si>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</si>
  <si>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</si>
  <si>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</si>
  <si>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</si>
  <si>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</si>
  <si>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</si>
  <si>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</si>
  <si>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</si>
  <si>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</si>
  <si>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</si>
  <si>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</si>
  <si>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</si>
  <si>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</si>
  <si>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</si>
  <si>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</si>
  <si>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</si>
  <si>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</si>
  <si>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</si>
  <si>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</si>
  <si>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</si>
  <si>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</si>
  <si>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</si>
  <si>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</si>
  <si>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</si>
  <si>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</si>
  <si>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</si>
  <si>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</si>
  <si>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</si>
  <si>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</si>
  <si>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</si>
  <si>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</si>
  <si>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</si>
  <si>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</si>
  <si>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</si>
  <si>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</si>
  <si>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</si>
  <si>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</si>
  <si>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</si>
  <si>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</si>
  <si>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</si>
  <si>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</si>
  <si>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</si>
  <si>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</si>
  <si>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</si>
  <si>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</si>
  <si>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</si>
  <si>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</si>
  <si>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</si>
  <si>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</si>
  <si>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</si>
  <si>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</si>
  <si>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</si>
  <si>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</si>
  <si>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</si>
  <si>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</si>
  <si>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</si>
  <si>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</si>
  <si>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</si>
  <si>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</si>
  <si>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</si>
  <si>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</si>
  <si>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</si>
  <si>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</si>
  <si>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</si>
  <si>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</si>
  <si>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</si>
  <si>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</si>
  <si>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</si>
  <si>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</si>
  <si>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</si>
  <si>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</si>
  <si>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</si>
  <si>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</si>
  <si>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</si>
  <si>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</si>
  <si>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</si>
  <si>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</si>
  <si>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</si>
  <si>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</si>
  <si>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</si>
  <si>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</si>
  <si>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</si>
  <si>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</si>
  <si>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</si>
  <si>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</si>
  <si>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</si>
  <si>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</si>
  <si>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</si>
  <si>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</si>
  <si>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</si>
  <si>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</si>
  <si>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</si>
  <si>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</si>
  <si>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</si>
  <si>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</si>
  <si>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</si>
  <si>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</si>
  <si>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</si>
  <si>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</si>
  <si>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</si>
  <si>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</si>
  <si>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</si>
  <si>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</si>
  <si>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</si>
  <si>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</si>
  <si>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</si>
  <si>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</si>
  <si>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</si>
  <si>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</si>
  <si>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</si>
  <si>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</si>
  <si>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</si>
  <si>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</si>
  <si>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</si>
  <si>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</si>
  <si>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</si>
  <si>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</si>
  <si>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</si>
  <si>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</si>
  <si>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</si>
  <si>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</si>
  <si>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</si>
  <si>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</si>
  <si>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</si>
  <si>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</si>
  <si>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</si>
  <si>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</si>
  <si>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</si>
  <si>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</si>
  <si>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</si>
  <si>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</si>
  <si>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</si>
  <si>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</si>
  <si>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</si>
  <si>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</si>
  <si>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</si>
  <si>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</si>
  <si>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</si>
  <si>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</si>
  <si>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</si>
  <si>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</si>
  <si>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</si>
  <si>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</si>
  <si>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</si>
  <si>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</si>
  <si>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</si>
  <si>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</si>
  <si>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</si>
  <si>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</si>
  <si>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</si>
  <si>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</si>
  <si>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</si>
  <si>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</si>
  <si>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</si>
  <si>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</si>
  <si>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</si>
  <si>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</si>
  <si>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</si>
  <si>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</si>
  <si>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</si>
  <si>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</si>
  <si>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</si>
  <si>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</si>
  <si>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</si>
  <si>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</si>
  <si>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</si>
  <si>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</si>
  <si>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</si>
  <si>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</si>
  <si>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</si>
  <si>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</si>
  <si>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</si>
  <si>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</si>
  <si>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</si>
  <si>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</si>
  <si>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</si>
  <si>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</si>
  <si>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</si>
  <si>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</si>
  <si>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</si>
  <si>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</si>
  <si>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</si>
  <si>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</si>
  <si>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</si>
  <si>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</si>
  <si>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</si>
  <si>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</si>
  <si>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</si>
  <si>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</si>
  <si>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</si>
  <si>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</si>
  <si>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</si>
  <si>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</si>
  <si>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</si>
  <si>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</si>
  <si>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</si>
  <si>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</si>
  <si>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</si>
  <si>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</si>
  <si>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</si>
  <si>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</si>
  <si>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</si>
  <si>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</si>
  <si>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</si>
  <si>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</si>
  <si>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</si>
  <si>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</si>
  <si>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</si>
  <si>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</si>
  <si>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</si>
  <si>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</si>
  <si>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</si>
  <si>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</si>
  <si>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</si>
  <si>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</si>
  <si>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</si>
  <si>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</si>
  <si>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</si>
  <si>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</si>
  <si>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</si>
  <si>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</si>
  <si>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</si>
  <si>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</si>
  <si>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</si>
  <si>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</si>
  <si>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</si>
  <si>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</si>
  <si>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</si>
  <si>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</si>
  <si>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</si>
  <si>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</si>
  <si>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</si>
  <si>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</si>
  <si>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</si>
  <si>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</si>
  <si>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</si>
  <si>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</si>
  <si>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</si>
  <si>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</si>
  <si>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</si>
  <si>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</si>
  <si>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</si>
  <si>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</si>
  <si>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</si>
  <si>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</si>
  <si>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</si>
  <si>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</si>
  <si>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</si>
  <si>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</si>
  <si>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</si>
  <si>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</si>
  <si>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</si>
  <si>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</si>
  <si>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</si>
  <si>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</si>
  <si>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</si>
  <si>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</si>
  <si>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</si>
  <si>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</si>
  <si>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</si>
  <si>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</si>
  <si>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</si>
  <si>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</si>
  <si>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</si>
  <si>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</si>
  <si>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</si>
  <si>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</si>
  <si>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</si>
  <si>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</si>
  <si>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</si>
  <si>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</si>
  <si>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</si>
  <si>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</si>
  <si>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</si>
  <si>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</si>
  <si>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</si>
  <si>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</si>
  <si>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</si>
  <si>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</si>
  <si>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</si>
  <si>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</si>
  <si>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</si>
  <si>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</si>
  <si>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</si>
  <si>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</si>
  <si>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</si>
  <si>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</si>
  <si>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</si>
  <si>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</si>
  <si>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</si>
  <si>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</si>
  <si>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</si>
  <si>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</si>
  <si>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</si>
  <si>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</si>
  <si>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</si>
  <si>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</si>
  <si>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</si>
  <si>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</si>
  <si>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</si>
  <si>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</si>
  <si>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</si>
  <si>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</si>
  <si>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</si>
  <si>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</si>
  <si>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</si>
  <si>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</si>
  <si>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</si>
  <si>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</si>
  <si>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</si>
  <si>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</si>
  <si>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</si>
  <si>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</si>
  <si>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</si>
  <si>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</si>
  <si>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</si>
  <si>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</si>
  <si>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</si>
  <si>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</si>
  <si>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</si>
  <si>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</si>
  <si>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</si>
  <si>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</si>
  <si>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</si>
  <si>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</si>
  <si>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</si>
  <si>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</si>
  <si>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</si>
  <si>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</si>
  <si>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</si>
  <si>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</si>
  <si>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</si>
  <si>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</si>
  <si>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</si>
  <si>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</si>
  <si>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</si>
  <si>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</si>
  <si>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</si>
  <si>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</si>
  <si>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</si>
  <si>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</si>
  <si>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</si>
  <si>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</si>
  <si>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</si>
  <si>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</si>
  <si>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</si>
  <si>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</si>
  <si>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</si>
  <si>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</si>
  <si>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</si>
  <si>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</si>
  <si>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</si>
  <si>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</si>
  <si>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</si>
  <si>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</si>
  <si>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</si>
  <si>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</si>
  <si>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</si>
  <si>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</si>
  <si>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</si>
  <si>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</si>
  <si>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</si>
  <si>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</si>
  <si>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</si>
  <si>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</si>
  <si>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</si>
  <si>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</si>
  <si>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</si>
  <si>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</si>
  <si>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</si>
  <si>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</si>
  <si>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</si>
  <si>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</si>
  <si>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</si>
  <si>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</si>
  <si>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</si>
  <si>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</si>
  <si>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</si>
  <si>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</si>
  <si>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</si>
  <si>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</si>
  <si>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</si>
  <si>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</si>
  <si>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</si>
  <si>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</si>
  <si>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</si>
  <si>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</si>
  <si>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</si>
  <si>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</si>
  <si>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</si>
  <si>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</si>
  <si>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</si>
  <si>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</si>
  <si>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</si>
  <si>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</si>
  <si>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</si>
  <si>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</si>
  <si>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</si>
  <si>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</si>
  <si>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</si>
  <si>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</si>
  <si>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</si>
  <si>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</si>
  <si>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</si>
  <si>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</si>
  <si>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</si>
  <si>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</si>
  <si>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</si>
  <si>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</si>
  <si>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</si>
  <si>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</si>
  <si>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</si>
  <si>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</si>
  <si>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</si>
  <si>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</si>
  <si>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</si>
  <si>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</si>
  <si>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</si>
  <si>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</si>
  <si>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</si>
  <si>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</si>
  <si>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</si>
  <si>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</si>
  <si>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</si>
  <si>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</si>
  <si>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</si>
  <si>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</si>
  <si>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</si>
  <si>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</si>
  <si>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</si>
  <si>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</si>
  <si>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</si>
  <si>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</si>
  <si>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</si>
  <si>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</si>
  <si>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</si>
  <si>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</si>
  <si>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</si>
  <si>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</si>
  <si>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</si>
  <si>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</si>
  <si>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</si>
  <si>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</si>
  <si>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</si>
  <si>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</si>
  <si>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</si>
  <si>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</si>
  <si>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</si>
  <si>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</si>
  <si>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</si>
  <si>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</si>
  <si>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</si>
  <si>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</si>
  <si>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</si>
  <si>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</si>
  <si>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</si>
  <si>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</si>
  <si>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</si>
  <si>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</si>
  <si>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</si>
  <si>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</si>
  <si>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</si>
  <si>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</si>
  <si>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</si>
  <si>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</si>
  <si>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</si>
  <si>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</si>
  <si>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</si>
  <si>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</si>
  <si>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</si>
  <si>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</si>
  <si>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</si>
  <si>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</si>
  <si>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</si>
  <si>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</si>
  <si>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</si>
  <si>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</si>
  <si>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</si>
  <si>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</si>
  <si>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</si>
  <si>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</si>
  <si>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</si>
  <si>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</si>
  <si>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</si>
  <si>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</si>
  <si>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</si>
  <si>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</si>
  <si>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</si>
  <si>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</si>
  <si>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</si>
  <si>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</si>
  <si>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</si>
  <si>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</si>
  <si>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</si>
  <si>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</si>
  <si>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</si>
  <si>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</si>
  <si>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</si>
  <si>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</si>
  <si>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</si>
  <si>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</si>
  <si>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</si>
  <si>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</si>
  <si>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</si>
  <si>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</si>
  <si>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</si>
  <si>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</si>
  <si>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</si>
  <si>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</si>
  <si>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</si>
  <si>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</si>
  <si>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</si>
  <si>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</si>
  <si>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</si>
  <si>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</si>
  <si>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</si>
  <si>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</si>
  <si>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</si>
  <si>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</si>
  <si>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</si>
  <si>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</si>
  <si>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</si>
  <si>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</si>
  <si>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</si>
  <si>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</si>
  <si>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</si>
  <si>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</si>
  <si>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</si>
  <si>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</si>
  <si>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</si>
  <si>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</si>
  <si>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</si>
  <si>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</si>
  <si>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</si>
  <si>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</si>
  <si>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</si>
  <si>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</si>
  <si>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</si>
  <si>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</si>
  <si>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</si>
  <si>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</si>
  <si>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</si>
  <si>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</si>
  <si>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</si>
  <si>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</si>
  <si>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</si>
  <si>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</si>
  <si>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</si>
  <si>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</si>
  <si>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</si>
  <si>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</si>
  <si>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</si>
  <si>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</si>
  <si>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</si>
  <si>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</si>
  <si>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</si>
  <si>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</si>
  <si>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</si>
  <si>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</si>
  <si>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</si>
  <si>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</si>
  <si>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</si>
  <si>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</si>
  <si>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</si>
  <si>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</si>
  <si>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</si>
  <si>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</si>
  <si>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</si>
  <si>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</si>
  <si>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</si>
  <si>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</si>
  <si>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</si>
  <si>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</si>
  <si>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</si>
  <si>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</si>
  <si>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</si>
  <si>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</si>
  <si>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</si>
  <si>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</si>
  <si>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</si>
  <si>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</si>
  <si>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</si>
  <si>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</si>
  <si>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</si>
  <si>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</si>
  <si>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</si>
  <si>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</si>
  <si>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</si>
  <si>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</si>
  <si>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</si>
  <si>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</si>
  <si>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</si>
  <si>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</si>
  <si>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</si>
  <si>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</si>
  <si>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</si>
  <si>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</si>
  <si>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</si>
  <si>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</si>
  <si>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</si>
  <si>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</si>
  <si>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</si>
  <si>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</si>
  <si>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</si>
  <si>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</si>
  <si>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</si>
  <si>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</si>
  <si>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</si>
  <si>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</si>
  <si>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</si>
  <si>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</si>
  <si>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</si>
  <si>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</si>
  <si>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</si>
  <si>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</si>
  <si>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</si>
  <si>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</si>
  <si>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</si>
  <si>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</si>
  <si>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</si>
  <si>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</si>
  <si>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</si>
  <si>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</si>
  <si>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</si>
  <si>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</si>
  <si>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</si>
  <si>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</si>
  <si>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</si>
  <si>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</si>
  <si>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</si>
  <si>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</si>
  <si>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</si>
  <si>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</si>
  <si>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</si>
  <si>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</si>
  <si>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</si>
  <si>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</si>
  <si>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</si>
  <si>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</si>
  <si>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</si>
  <si>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</si>
  <si>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</si>
  <si>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</si>
  <si>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</si>
  <si>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</si>
  <si>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</si>
  <si>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</si>
  <si>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</si>
  <si>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</si>
  <si>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</si>
  <si>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</si>
  <si>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</si>
  <si>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</si>
  <si>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</si>
  <si>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</si>
  <si>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</si>
  <si>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</si>
  <si>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</si>
  <si>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</si>
  <si>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</si>
  <si>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</si>
  <si>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</si>
  <si>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</si>
  <si>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</si>
  <si>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</si>
  <si>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</si>
  <si>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</si>
  <si>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</si>
  <si>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</si>
  <si>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</si>
  <si>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</si>
  <si>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</si>
  <si>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</si>
  <si>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</si>
  <si>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</si>
  <si>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</si>
  <si>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</si>
  <si>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</si>
  <si>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</si>
  <si>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</si>
  <si>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</si>
  <si>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</si>
  <si>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</si>
  <si>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</si>
  <si>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</si>
  <si>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</si>
  <si>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</si>
  <si>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</si>
  <si>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</si>
  <si>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</si>
  <si>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</si>
  <si>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</si>
  <si>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</si>
  <si>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</si>
  <si>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</si>
  <si>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</si>
  <si>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</si>
  <si>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</si>
  <si>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</si>
  <si>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</si>
  <si>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</si>
  <si>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</si>
  <si>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</si>
  <si>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</si>
  <si>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</si>
  <si>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</si>
  <si>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</si>
  <si>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</si>
  <si>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</si>
  <si>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</si>
  <si>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</si>
  <si>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</si>
  <si>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</si>
  <si>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</si>
  <si>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</si>
  <si>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</si>
  <si>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</si>
  <si>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</si>
  <si>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</si>
  <si>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</si>
  <si>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</si>
  <si>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</si>
  <si>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</si>
  <si>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</si>
  <si>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</si>
  <si>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</si>
  <si>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</si>
  <si>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</si>
  <si>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</si>
  <si>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</si>
  <si>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</si>
  <si>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</si>
  <si>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</si>
  <si>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</si>
  <si>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</si>
  <si>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</si>
  <si>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</si>
  <si>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</si>
  <si>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</si>
  <si>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</si>
  <si>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</si>
  <si>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</si>
  <si>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</si>
  <si>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</si>
  <si>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</si>
  <si>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</si>
  <si>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</si>
  <si>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</si>
  <si>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</si>
  <si>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</si>
  <si>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</si>
  <si>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</si>
  <si>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</si>
  <si>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</si>
  <si>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</si>
  <si>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</si>
  <si>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</si>
  <si>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</si>
  <si>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</si>
  <si>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</si>
  <si>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</si>
  <si>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</si>
  <si>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</si>
  <si>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</si>
  <si>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</si>
  <si>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</si>
  <si>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</si>
  <si>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</si>
  <si>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</si>
  <si>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</si>
  <si>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</si>
  <si>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</si>
  <si>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</si>
  <si>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</si>
  <si>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</si>
  <si>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</si>
  <si>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</si>
  <si>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</si>
  <si>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</si>
  <si>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</si>
  <si>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</si>
  <si>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</si>
  <si>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</si>
  <si>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</si>
  <si>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</si>
  <si>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</si>
  <si>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</si>
  <si>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</si>
  <si>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</si>
  <si>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</si>
  <si>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</si>
  <si>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</si>
  <si>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</si>
  <si>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</si>
  <si>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</si>
  <si>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</si>
  <si>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</si>
  <si>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</si>
  <si>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</si>
  <si>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</si>
  <si>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</si>
  <si>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</si>
  <si>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</si>
  <si>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</si>
  <si>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</si>
  <si>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</si>
  <si>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</si>
  <si>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</si>
  <si>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</si>
  <si>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</si>
  <si>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</si>
  <si>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</si>
  <si>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</si>
  <si>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</si>
  <si>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</si>
  <si>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</si>
  <si>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</si>
  <si>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</si>
  <si>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</si>
  <si>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</si>
  <si>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</si>
  <si>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</si>
  <si>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</si>
  <si>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</si>
  <si>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</si>
  <si>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</si>
  <si>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</si>
  <si>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</si>
  <si>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</si>
  <si>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</si>
  <si>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</si>
  <si>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</si>
  <si>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</si>
  <si>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</si>
  <si>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</si>
  <si>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</si>
  <si>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</si>
  <si>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</si>
  <si>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</si>
  <si>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</si>
  <si>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</si>
  <si>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</si>
  <si>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</si>
  <si>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</si>
  <si>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</si>
  <si>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</si>
  <si>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</si>
  <si>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</si>
  <si>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</si>
  <si>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</si>
  <si>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</si>
  <si>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</si>
  <si>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</si>
  <si>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</si>
  <si>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</si>
  <si>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</si>
  <si>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</si>
  <si>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</si>
  <si>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</si>
  <si>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</si>
  <si>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</si>
  <si>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</si>
  <si>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</si>
  <si>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</si>
  <si>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</si>
  <si>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</si>
  <si>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</si>
  <si>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</si>
  <si>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</si>
  <si>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</si>
  <si>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</si>
  <si>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</si>
  <si>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</si>
  <si>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</si>
  <si>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</si>
  <si>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</si>
  <si>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</si>
  <si>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</si>
  <si>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</si>
  <si>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</si>
  <si>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</si>
  <si>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</si>
  <si>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</si>
  <si>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</si>
  <si>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</si>
  <si>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</si>
  <si>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</si>
  <si>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</si>
  <si>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</si>
  <si>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</si>
  <si>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</si>
  <si>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</si>
  <si>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</si>
  <si>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</si>
  <si>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</si>
  <si>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</si>
  <si>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</si>
  <si>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</si>
  <si>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</si>
  <si>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</si>
  <si>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</si>
  <si>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</si>
  <si>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</si>
  <si>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</si>
  <si>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</si>
  <si>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</si>
  <si>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</si>
  <si>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</si>
  <si>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</si>
  <si>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</si>
  <si>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</si>
  <si>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</si>
  <si>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</si>
  <si>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</si>
  <si>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</si>
  <si>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</si>
  <si>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</si>
  <si>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</si>
  <si>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</si>
  <si>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</si>
  <si>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</si>
  <si>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</si>
  <si>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</si>
  <si>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</si>
  <si>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</si>
  <si>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</si>
  <si>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</si>
  <si>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</si>
  <si>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</si>
  <si>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</si>
  <si>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</si>
  <si>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</si>
  <si>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</si>
  <si>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</si>
  <si>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</si>
  <si>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</si>
  <si>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</si>
  <si>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</si>
  <si>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</si>
  <si>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</si>
  <si>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</si>
  <si>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</si>
  <si>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</si>
  <si>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</si>
  <si>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</si>
  <si>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</si>
  <si>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</si>
  <si>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</si>
  <si>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</si>
  <si>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</si>
  <si>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</si>
  <si>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</si>
  <si>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</si>
  <si>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</si>
  <si>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</si>
  <si>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</si>
  <si>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</si>
  <si>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</si>
  <si>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</si>
  <si>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</si>
  <si>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</si>
  <si>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</si>
  <si>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</si>
  <si>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</si>
  <si>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</si>
  <si>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</si>
  <si>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</si>
  <si>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</si>
  <si>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</si>
  <si>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</si>
  <si>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</si>
  <si>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</si>
  <si>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</si>
  <si>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</si>
  <si>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</si>
  <si>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</si>
  <si>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</si>
  <si>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</si>
  <si>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</si>
  <si>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</si>
  <si>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</si>
  <si>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</si>
  <si>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</si>
  <si>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</si>
  <si>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</si>
  <si>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</si>
  <si>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</si>
  <si>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</si>
  <si>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</si>
  <si>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</si>
  <si>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</si>
  <si>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</si>
  <si>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</si>
  <si>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</si>
  <si>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</si>
  <si>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</si>
  <si>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</si>
  <si>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</si>
  <si>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</si>
  <si>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</si>
  <si>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</si>
  <si>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</si>
  <si>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</si>
  <si>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</si>
  <si>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</si>
  <si>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</si>
  <si>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</si>
  <si>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</si>
  <si>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</si>
  <si>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</si>
  <si>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</si>
  <si>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</si>
  <si>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</si>
  <si>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</si>
  <si>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</si>
  <si>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</si>
  <si>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</si>
  <si>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</si>
  <si>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</si>
  <si>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</si>
  <si>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</si>
  <si>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</si>
  <si>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</si>
  <si>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</si>
  <si>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</si>
  <si>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</si>
  <si>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</si>
  <si>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</si>
  <si>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</si>
  <si>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</si>
  <si>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</si>
  <si>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</si>
  <si>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</si>
  <si>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</si>
  <si>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</si>
  <si>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</si>
  <si>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</si>
  <si>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</si>
  <si>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</si>
  <si>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</si>
  <si>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</si>
  <si>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</si>
  <si>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</si>
  <si>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</si>
  <si>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</si>
  <si>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</si>
  <si>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</si>
  <si>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</si>
  <si>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</si>
  <si>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</si>
  <si>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</si>
  <si>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</si>
  <si>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</si>
  <si>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</si>
  <si>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</si>
  <si>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</si>
  <si>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</si>
  <si>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</si>
  <si>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</si>
  <si>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</si>
  <si>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</si>
  <si>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</si>
  <si>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</si>
  <si>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</si>
  <si>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</si>
  <si>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</si>
  <si>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</si>
  <si>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</si>
  <si>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</si>
  <si>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</si>
  <si>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</si>
  <si>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</si>
  <si>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</si>
  <si>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</si>
  <si>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</si>
  <si>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</si>
  <si>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</si>
  <si>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</si>
  <si>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</si>
  <si>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</si>
  <si>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</si>
  <si>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</si>
  <si>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</si>
  <si>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</si>
  <si>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</si>
  <si>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</si>
  <si>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</si>
  <si>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</si>
  <si>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</si>
  <si>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</si>
  <si>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</si>
  <si>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</si>
  <si>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</si>
  <si>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</si>
  <si>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</si>
  <si>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</si>
  <si>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</si>
  <si>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</si>
  <si>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</si>
  <si>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</si>
  <si>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</si>
  <si>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</si>
  <si>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</si>
  <si>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</si>
  <si>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</si>
  <si>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</si>
  <si>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</si>
  <si>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</si>
  <si>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</si>
  <si>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</si>
  <si>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</si>
  <si>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</si>
  <si>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</si>
  <si>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</si>
  <si>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</si>
  <si>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</si>
  <si>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</si>
  <si>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</si>
  <si>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</si>
  <si>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</si>
  <si>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</si>
  <si>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</si>
  <si>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</si>
  <si>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</si>
  <si>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</si>
  <si>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</si>
  <si>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</si>
  <si>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</si>
  <si>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</si>
  <si>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</si>
  <si>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</si>
  <si>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</si>
  <si>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</si>
  <si>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</si>
  <si>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</si>
  <si>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</si>
  <si>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</si>
  <si>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</si>
  <si>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</si>
  <si>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</si>
  <si>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</si>
  <si>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</si>
  <si>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</si>
  <si>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</si>
  <si>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</si>
  <si>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</si>
  <si>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</si>
  <si>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</si>
  <si>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</si>
  <si>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</si>
  <si>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</si>
  <si>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</si>
  <si>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</si>
  <si>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</si>
  <si>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</si>
  <si>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</si>
  <si>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</si>
  <si>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</si>
  <si>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</si>
  <si>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</si>
  <si>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</si>
  <si>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</si>
  <si>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</si>
  <si>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</si>
  <si>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</si>
  <si>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</si>
  <si>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</si>
  <si>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</si>
  <si>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</si>
  <si>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</si>
  <si>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</si>
  <si>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</si>
  <si>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</si>
  <si>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</si>
  <si>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</si>
  <si>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</si>
  <si>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</si>
  <si>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</si>
  <si>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</si>
  <si>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</si>
  <si>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</si>
  <si>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</si>
  <si>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</si>
  <si>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</si>
  <si>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</si>
  <si>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</si>
  <si>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</si>
  <si>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</si>
  <si>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</si>
  <si>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</si>
  <si>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</si>
  <si>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</si>
  <si>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</si>
  <si>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</si>
  <si>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</si>
  <si>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</si>
  <si>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</si>
  <si>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</si>
  <si>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</si>
  <si>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</si>
  <si>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</si>
  <si>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</si>
  <si>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</si>
  <si>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</si>
  <si>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</si>
  <si>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</si>
  <si>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</si>
  <si>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</si>
  <si>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</si>
  <si>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</si>
  <si>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</si>
  <si>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</si>
  <si>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</si>
  <si>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</si>
  <si>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</si>
  <si>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</si>
  <si>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</si>
  <si>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</si>
  <si>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</si>
  <si>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</si>
  <si>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</si>
  <si>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</si>
  <si>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</si>
  <si>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</si>
  <si>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</si>
  <si>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</si>
  <si>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</si>
  <si>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</si>
  <si>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</si>
  <si>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</si>
  <si>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</si>
  <si>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</si>
  <si>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</si>
  <si>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</si>
  <si>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</si>
  <si>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</si>
  <si>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</si>
  <si>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</si>
  <si>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</si>
  <si>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</si>
  <si>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</si>
  <si>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</si>
  <si>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</si>
  <si>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</si>
  <si>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</si>
  <si>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</si>
  <si>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</si>
  <si>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</si>
  <si>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</si>
  <si>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</si>
  <si>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</si>
  <si>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</si>
  <si>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</si>
  <si>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</si>
  <si>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</si>
  <si>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</si>
  <si>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</si>
  <si>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</si>
  <si>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</si>
  <si>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</si>
  <si>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</si>
  <si>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</si>
  <si>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</si>
  <si>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</si>
  <si>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</si>
  <si>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</si>
  <si>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</si>
  <si>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</si>
  <si>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</si>
  <si>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</si>
  <si>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</si>
  <si>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</si>
  <si>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</si>
  <si>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</si>
  <si>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</si>
  <si>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</si>
  <si>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</si>
  <si>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</si>
  <si>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</si>
  <si>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</si>
  <si>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</si>
  <si>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</si>
  <si>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</si>
  <si>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</si>
  <si>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</si>
  <si>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</si>
  <si>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</si>
  <si>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</si>
  <si>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</si>
  <si>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</si>
  <si>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</si>
  <si>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</si>
  <si>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</si>
  <si>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</si>
  <si>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</si>
  <si>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</si>
  <si>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</si>
  <si>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</si>
  <si>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</si>
  <si>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</si>
  <si>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</si>
  <si>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</si>
  <si>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</si>
  <si>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</si>
  <si>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</si>
  <si>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</si>
  <si>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</si>
  <si>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</si>
  <si>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</si>
  <si>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</si>
  <si>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</si>
  <si>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</si>
  <si>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</si>
  <si>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</si>
  <si>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</si>
  <si>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</si>
  <si>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</si>
  <si>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</si>
  <si>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</si>
  <si>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</si>
  <si>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</si>
  <si>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</si>
  <si>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</si>
  <si>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</si>
  <si>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</si>
  <si>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</si>
  <si>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</si>
  <si>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</si>
  <si>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</si>
  <si>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</si>
  <si>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</si>
  <si>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</si>
  <si>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</si>
  <si>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</si>
  <si>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</si>
  <si>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</si>
  <si>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</si>
  <si>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</si>
  <si>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</si>
  <si>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</si>
  <si>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</si>
  <si>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</si>
  <si>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</si>
  <si>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</si>
  <si>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</si>
  <si>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</si>
  <si>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</si>
  <si>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</si>
  <si>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</si>
  <si>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</si>
  <si>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</si>
  <si>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</si>
  <si>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</si>
  <si>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</si>
  <si>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</si>
  <si>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</si>
  <si>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</si>
  <si>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</si>
  <si>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</si>
  <si>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</si>
  <si>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</si>
  <si>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</si>
  <si>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</si>
  <si>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</si>
  <si>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</si>
  <si>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</si>
  <si>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</si>
  <si>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</si>
  <si>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</si>
  <si>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</si>
  <si>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</si>
  <si>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</si>
  <si>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</si>
  <si>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</si>
  <si>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</si>
  <si>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</si>
  <si>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</si>
  <si>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</si>
  <si>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</si>
  <si>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</si>
  <si>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</si>
  <si>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</si>
  <si>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</si>
  <si>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</si>
  <si>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</si>
  <si>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</si>
  <si>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</si>
  <si>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</si>
  <si>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</si>
  <si>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</si>
  <si>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</si>
  <si>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</si>
  <si>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</si>
  <si>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</si>
  <si>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</si>
  <si>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</si>
  <si>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</si>
  <si>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</si>
  <si>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</si>
  <si>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</si>
  <si>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</si>
  <si>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</si>
  <si>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</si>
  <si>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</si>
  <si>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</si>
  <si>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</si>
  <si>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</si>
  <si>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</si>
  <si>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</si>
  <si>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</si>
  <si>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</si>
  <si>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</si>
  <si>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</si>
  <si>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</si>
  <si>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</si>
  <si>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</si>
  <si>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</si>
  <si>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</si>
  <si>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</si>
  <si>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</si>
  <si>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</si>
  <si>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</si>
  <si>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</si>
  <si>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</si>
  <si>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</si>
  <si>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</si>
  <si>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</si>
  <si>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</si>
  <si>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</si>
  <si>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</si>
  <si>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</si>
  <si>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</si>
  <si>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</si>
  <si>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</si>
  <si>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</si>
  <si>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</si>
  <si>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</si>
  <si>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</si>
  <si>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</si>
  <si>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</si>
  <si>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</si>
  <si>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</si>
  <si>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</si>
  <si>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</si>
  <si>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</si>
  <si>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</si>
  <si>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</si>
  <si>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</si>
  <si>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</si>
  <si>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</si>
  <si>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</si>
  <si>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</si>
  <si>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</si>
  <si>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</si>
  <si>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</si>
  <si>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</si>
  <si>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</si>
  <si>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</si>
  <si>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</si>
  <si>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</si>
  <si>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</si>
  <si>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</si>
  <si>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</si>
  <si>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</si>
  <si>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</si>
  <si>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</si>
  <si>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</si>
  <si>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</si>
  <si>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</si>
  <si>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</si>
  <si>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</si>
  <si>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</si>
  <si>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</si>
  <si>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</si>
  <si>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</si>
  <si>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</si>
  <si>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</si>
  <si>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</si>
  <si>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</si>
  <si>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</si>
  <si>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</si>
  <si>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</si>
  <si>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</si>
  <si>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</si>
  <si>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</si>
  <si>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</si>
  <si>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</si>
  <si>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</si>
  <si>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</si>
  <si>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</si>
  <si>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</si>
  <si>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</si>
  <si>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</si>
  <si>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</si>
  <si>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</si>
  <si>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</si>
  <si>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</si>
  <si>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</si>
  <si>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</si>
  <si>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</si>
  <si>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</si>
  <si>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</si>
  <si>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</si>
  <si>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</si>
  <si>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</si>
  <si>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</si>
  <si>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</si>
  <si>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</si>
  <si>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</si>
  <si>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</si>
  <si>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</si>
  <si>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</si>
  <si>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</si>
  <si>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</si>
  <si>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</si>
  <si>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</si>
  <si>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</si>
  <si>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</si>
  <si>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</si>
  <si>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</si>
  <si>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</si>
  <si>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</si>
  <si>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</si>
  <si>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</si>
  <si>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</si>
  <si>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</si>
  <si>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</si>
  <si>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</si>
  <si>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</si>
  <si>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</si>
  <si>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</si>
  <si>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</si>
  <si>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</si>
  <si>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</si>
  <si>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</si>
  <si>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</si>
  <si>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</si>
  <si>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</si>
  <si>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</si>
  <si>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</si>
  <si>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</si>
  <si>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</si>
  <si>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</si>
  <si>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</si>
  <si>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</si>
  <si>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</si>
  <si>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</si>
  <si>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</si>
  <si>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</si>
  <si>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</si>
  <si>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</si>
  <si>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</si>
  <si>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</si>
  <si>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</si>
  <si>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</si>
  <si>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</si>
  <si>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</si>
  <si>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</si>
  <si>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</si>
  <si>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</si>
  <si>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</si>
  <si>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</si>
  <si>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</si>
  <si>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</si>
  <si>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</si>
  <si>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</si>
  <si>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</si>
  <si>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</si>
  <si>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</si>
  <si>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</si>
  <si>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</si>
  <si>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</si>
  <si>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</si>
  <si>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</si>
  <si>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</si>
  <si>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</si>
  <si>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</si>
  <si>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</si>
  <si>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</si>
  <si>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</si>
  <si>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</si>
  <si>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</si>
  <si>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</si>
  <si>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</si>
  <si>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</si>
  <si>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</si>
  <si>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</si>
  <si>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</si>
  <si>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</si>
  <si>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</si>
  <si>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</si>
  <si>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</si>
  <si>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</si>
  <si>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</si>
  <si>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</si>
  <si>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</si>
  <si>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</si>
  <si>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</si>
  <si>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</si>
  <si>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</si>
  <si>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</si>
  <si>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</si>
  <si>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</si>
  <si>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</si>
  <si>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</si>
  <si>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</si>
  <si>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</si>
  <si>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</si>
  <si>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</si>
  <si>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</si>
  <si>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</si>
  <si>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</si>
  <si>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</si>
  <si>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</si>
  <si>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</si>
  <si>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</si>
  <si>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</si>
  <si>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</si>
  <si>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</si>
  <si>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</si>
  <si>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</si>
  <si>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</si>
  <si>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</si>
  <si>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</si>
  <si>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</si>
  <si>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</si>
  <si>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</si>
  <si>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</si>
  <si>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</si>
  <si>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</si>
  <si>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</si>
  <si>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</si>
  <si>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</si>
  <si>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</si>
  <si>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</si>
  <si>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</si>
  <si>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</si>
  <si>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</si>
  <si>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</si>
  <si>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</si>
  <si>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</si>
  <si>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</si>
  <si>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</si>
  <si>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</si>
  <si>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</si>
  <si>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</si>
  <si>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</si>
  <si>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</si>
  <si>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</si>
  <si>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</si>
  <si>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</si>
  <si>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</si>
  <si>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</si>
  <si>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</si>
  <si>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</si>
  <si>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</si>
  <si>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</si>
  <si>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</si>
  <si>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</si>
  <si>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</si>
  <si>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</si>
  <si>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</si>
  <si>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</si>
  <si>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</si>
  <si>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</si>
  <si>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</si>
  <si>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</si>
  <si>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</si>
  <si>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</si>
  <si>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</si>
  <si>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</si>
  <si>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</si>
  <si>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</si>
  <si>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</si>
  <si>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</si>
  <si>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</si>
  <si>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</si>
  <si>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</si>
  <si>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</si>
  <si>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</si>
  <si>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</si>
  <si>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</si>
  <si>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</si>
  <si>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</si>
  <si>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</si>
  <si>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</si>
  <si>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</si>
  <si>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</si>
  <si>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</si>
  <si>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</si>
  <si>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</si>
  <si>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</si>
  <si>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</si>
  <si>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</si>
  <si>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</si>
  <si>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</si>
  <si>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</si>
  <si>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</si>
  <si>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</si>
  <si>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</si>
  <si>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</si>
  <si>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</si>
  <si>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</si>
  <si>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</si>
  <si>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</si>
  <si>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</si>
  <si>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</si>
  <si>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</si>
  <si>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</si>
  <si>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</si>
  <si>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</si>
  <si>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</si>
  <si>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</si>
  <si>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</si>
  <si>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</si>
  <si>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</si>
  <si>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</si>
  <si>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</si>
  <si>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</si>
  <si>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</si>
  <si>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</si>
  <si>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</si>
  <si>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</si>
  <si>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</si>
  <si>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</si>
  <si>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</si>
  <si>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</si>
  <si>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</si>
  <si>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</si>
  <si>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</si>
  <si>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</si>
  <si>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</si>
  <si>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</si>
  <si>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</si>
  <si>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</si>
  <si>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</si>
  <si>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</si>
  <si>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</si>
  <si>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</si>
  <si>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</si>
  <si>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</si>
  <si>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</si>
  <si>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</si>
  <si>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</si>
  <si>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</si>
  <si>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</si>
  <si>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</si>
  <si>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</si>
  <si>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</si>
  <si>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</si>
  <si>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</si>
  <si>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</si>
  <si>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</si>
  <si>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</si>
  <si>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</si>
  <si>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</si>
  <si>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</si>
  <si>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</si>
  <si>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</si>
  <si>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</si>
  <si>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</si>
  <si>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</si>
  <si>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</si>
  <si>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</si>
  <si>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</si>
  <si>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</si>
  <si>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</si>
  <si>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</si>
  <si>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</si>
  <si>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</si>
  <si>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</si>
  <si>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</si>
  <si>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</si>
  <si>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</si>
  <si>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</si>
  <si>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</si>
  <si>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</si>
  <si>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</si>
  <si>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</si>
  <si>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</si>
  <si>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</si>
  <si>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</si>
  <si>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</si>
  <si>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</si>
  <si>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</si>
  <si>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</si>
  <si>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</si>
  <si>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</si>
  <si>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</si>
  <si>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</si>
  <si>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</si>
  <si>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</si>
  <si>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</si>
  <si>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</si>
  <si>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</si>
  <si>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</si>
  <si>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</si>
  <si>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</si>
  <si>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</si>
  <si>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</si>
  <si>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</si>
  <si>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</si>
  <si>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</si>
  <si>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</si>
  <si>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</si>
  <si>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</si>
  <si>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</si>
  <si>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</si>
  <si>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</si>
  <si>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</si>
  <si>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</si>
  <si>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</si>
  <si>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</si>
  <si>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</si>
  <si>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</si>
  <si>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</si>
  <si>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</si>
  <si>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</si>
  <si>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</si>
  <si>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</si>
  <si>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</si>
  <si>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</si>
  <si>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</si>
  <si>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</si>
  <si>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</si>
  <si>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</si>
  <si>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</si>
  <si>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</si>
  <si>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</si>
  <si>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</si>
  <si>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</si>
  <si>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</si>
  <si>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</si>
  <si>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</si>
  <si>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</si>
  <si>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</si>
  <si>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</si>
  <si>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</si>
  <si>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</si>
  <si>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</si>
  <si>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</si>
  <si>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</si>
  <si>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</si>
  <si>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</si>
  <si>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</si>
  <si>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</si>
  <si>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</si>
  <si>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</si>
  <si>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</si>
  <si>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</si>
  <si>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</si>
  <si>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</si>
  <si>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</si>
  <si>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</si>
  <si>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</si>
  <si>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</si>
  <si>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</si>
  <si>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</si>
  <si>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</si>
  <si>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</si>
  <si>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</si>
  <si>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</si>
  <si>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</si>
  <si>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</si>
  <si>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</si>
  <si>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</si>
  <si>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</si>
  <si>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</si>
  <si>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</si>
  <si>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</si>
  <si>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</si>
  <si>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</si>
  <si>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</si>
  <si>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</si>
  <si>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</si>
  <si>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</si>
  <si>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</si>
  <si>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</si>
  <si>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</si>
  <si>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</si>
  <si>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</si>
  <si>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</si>
  <si>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</si>
  <si>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</si>
  <si>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</si>
  <si>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</si>
  <si>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</si>
  <si>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</si>
  <si>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</si>
  <si>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</si>
  <si>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</si>
  <si>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</si>
  <si>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</si>
  <si>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</si>
  <si>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</si>
  <si>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</si>
  <si>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</si>
  <si>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</si>
  <si>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</si>
  <si>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</si>
  <si>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</si>
  <si>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</si>
  <si>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</si>
  <si>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</si>
  <si>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</si>
  <si>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</si>
  <si>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</si>
  <si>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</si>
  <si>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</si>
  <si>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</si>
  <si>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</si>
  <si>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</si>
  <si>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</si>
  <si>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</si>
  <si>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</si>
  <si>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</si>
  <si>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</si>
  <si>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</si>
  <si>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</si>
  <si>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</si>
  <si>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</si>
  <si>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</si>
  <si>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</si>
  <si>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</si>
  <si>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</si>
  <si>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</si>
  <si>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</si>
  <si>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</si>
  <si>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</si>
  <si>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</si>
  <si>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</si>
  <si>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</si>
  <si>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</si>
  <si>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</si>
  <si>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</si>
  <si>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</si>
  <si>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</si>
  <si>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</si>
  <si>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</si>
  <si>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</si>
  <si>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</si>
  <si>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</si>
  <si>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</si>
  <si>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</si>
  <si>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</si>
  <si>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</si>
  <si>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</si>
  <si>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</si>
  <si>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</si>
  <si>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</si>
  <si>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</si>
  <si>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</si>
  <si>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</si>
  <si>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</si>
  <si>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</si>
  <si>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</si>
  <si>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</si>
  <si>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</si>
  <si>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</si>
  <si>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</si>
  <si>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</si>
  <si>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</si>
  <si>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</si>
  <si>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</si>
  <si>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</si>
  <si>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</si>
  <si>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</si>
  <si>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</si>
  <si>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</si>
  <si>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</si>
  <si>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</si>
  <si>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</si>
  <si>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</si>
  <si>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</si>
  <si>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</si>
  <si>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</si>
  <si>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</si>
  <si>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</si>
  <si>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</si>
  <si>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</si>
  <si>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</si>
  <si>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</si>
  <si>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</si>
  <si>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</si>
  <si>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</si>
  <si>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</si>
  <si>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</si>
  <si>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</si>
  <si>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</si>
  <si>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</si>
  <si>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</si>
  <si>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</si>
  <si>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</si>
  <si>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</si>
  <si>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</si>
  <si>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</si>
  <si>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</si>
  <si>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</si>
  <si>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</si>
  <si>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</si>
  <si>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</si>
  <si>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</si>
  <si>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</si>
  <si>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</si>
  <si>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</si>
  <si>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</si>
  <si>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</si>
  <si>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</si>
  <si>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</si>
  <si>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</si>
  <si>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</si>
  <si>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</si>
  <si>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</si>
  <si>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</si>
  <si>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</si>
  <si>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</si>
  <si>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</si>
  <si>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</si>
  <si>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</si>
  <si>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</si>
  <si>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</si>
  <si>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</si>
  <si>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</si>
  <si>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</si>
  <si>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</si>
  <si>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</si>
  <si>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</si>
  <si>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</si>
  <si>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</si>
  <si>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</si>
  <si>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</si>
  <si>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</si>
  <si>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</si>
  <si>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</si>
  <si>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</si>
  <si>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</si>
  <si>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</si>
  <si>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</si>
  <si>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</si>
  <si>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</si>
  <si>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</si>
  <si>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</si>
  <si>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</si>
  <si>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</si>
  <si>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</si>
  <si>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</si>
  <si>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</si>
  <si>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</si>
  <si>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</si>
  <si>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</si>
  <si>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</si>
  <si>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</si>
  <si>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</si>
  <si>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</si>
  <si>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</si>
  <si>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</si>
  <si>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Diehl Metal Applications GmbH</t>
  </si>
  <si>
    <t>This CMRT is valid for DMA Berlin and DMA Teltow.
Dieser Bericht auf Basis des CMRT gilt für unsere Werke in Berlin und in Teltow.</t>
  </si>
  <si>
    <t>DUNS-Nr.  34 153 8133; Steuer-Nr. 241/115/20573, UST-IdNr. DE270079353</t>
  </si>
  <si>
    <t>Abteilung Qualitätsmanagement / Quality Management Department</t>
  </si>
  <si>
    <t>Stephan Osterwald</t>
  </si>
  <si>
    <t>D-14167 Berlin, Am Stichkanal 6-8, Deutschland / Germany</t>
  </si>
  <si>
    <t>stephan.osterwald@diehl.com</t>
  </si>
  <si>
    <t>+49-30-84784 4615</t>
  </si>
  <si>
    <t>Experte/Expert Rohs/Reach &amp; Konfliktmineralien/conflict minerals</t>
  </si>
  <si>
    <t xml:space="preserve"> All smelters which source tin from covered countries are compliant according to the list of RMI (15.03.2024). Thus this material has to be regarded as DRC conflict-free.</t>
  </si>
  <si>
    <t>100%</t>
  </si>
  <si>
    <t>https://www.diehl.com/group/de/unternehmen/compliance/</t>
  </si>
  <si>
    <t>Reported by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</si>
</sst>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iehl.com/group/de/unternehmen/compliance/"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837</v>
      </c>
      <c r="C2" s="3"/>
      <c r="D2" s="175"/>
      <c r="E2" s="3"/>
      <c r="F2" s="3"/>
      <c r="G2" s="25"/>
    </row>
    <row r="3" spans="1:7">
      <c r="A3" s="299"/>
      <c r="B3" s="3" t="s">
        <v>829</v>
      </c>
      <c r="C3" s="5"/>
      <c r="D3" s="176"/>
      <c r="E3" s="3"/>
      <c r="F3" s="5"/>
      <c r="G3" s="25"/>
    </row>
    <row r="4" spans="1:7" ht="15.75">
      <c r="A4" s="299"/>
      <c r="B4" s="30" t="s">
        <v>839</v>
      </c>
      <c r="C4" s="6"/>
      <c r="D4" s="177"/>
      <c r="E4" s="3"/>
      <c r="F4" s="6"/>
      <c r="G4" s="25"/>
    </row>
    <row r="5" spans="1:7">
      <c r="A5" s="299"/>
      <c r="B5" s="29" t="s">
        <v>1030</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840</v>
      </c>
      <c r="C9" s="302"/>
      <c r="D9" s="302"/>
      <c r="E9" s="302"/>
      <c r="F9" s="302"/>
      <c r="G9" s="25"/>
    </row>
    <row r="10" spans="1:7" ht="27" customHeight="1">
      <c r="A10" s="299"/>
      <c r="B10" s="303" t="s">
        <v>434</v>
      </c>
      <c r="C10" s="303"/>
      <c r="D10" s="303"/>
      <c r="E10" s="303"/>
      <c r="F10" s="303"/>
      <c r="G10" s="25"/>
    </row>
    <row r="11" spans="1:7" ht="27" customHeight="1">
      <c r="A11" s="299"/>
      <c r="B11" s="304"/>
      <c r="C11" s="304"/>
      <c r="D11" s="304"/>
      <c r="E11" s="304"/>
      <c r="F11" s="304"/>
      <c r="G11" s="25"/>
    </row>
    <row r="12" spans="1:7">
      <c r="A12" s="299"/>
      <c r="B12" s="31" t="s">
        <v>838</v>
      </c>
      <c r="C12" s="32" t="s">
        <v>841</v>
      </c>
      <c r="D12" s="179" t="s">
        <v>842</v>
      </c>
      <c r="E12" s="32" t="s">
        <v>608</v>
      </c>
      <c r="F12" s="32" t="s">
        <v>609</v>
      </c>
      <c r="G12" s="25"/>
    </row>
    <row r="13" spans="1:7" ht="33.75">
      <c r="A13" s="299"/>
      <c r="B13" s="2">
        <v>1</v>
      </c>
      <c r="C13" s="27" t="s">
        <v>1078</v>
      </c>
      <c r="D13" s="28" t="s">
        <v>866</v>
      </c>
      <c r="E13" s="163" t="s">
        <v>843</v>
      </c>
      <c r="F13" s="163"/>
      <c r="G13" s="25"/>
    </row>
    <row r="14" spans="1:7" ht="33.75">
      <c r="A14" s="299"/>
      <c r="B14" s="2">
        <v>2</v>
      </c>
      <c r="C14" s="27" t="s">
        <v>1078</v>
      </c>
      <c r="D14" s="28" t="s">
        <v>1015</v>
      </c>
      <c r="E14" s="163" t="s">
        <v>526</v>
      </c>
      <c r="F14" s="163" t="s">
        <v>527</v>
      </c>
      <c r="G14" s="25"/>
    </row>
    <row r="15" spans="1:7" ht="89.1" customHeight="1">
      <c r="A15" s="299"/>
      <c r="B15" s="305">
        <v>2.0099999999999998</v>
      </c>
      <c r="C15" s="296" t="s">
        <v>1078</v>
      </c>
      <c r="D15" s="308" t="s">
        <v>2229</v>
      </c>
      <c r="E15" s="164" t="s">
        <v>610</v>
      </c>
      <c r="F15" s="164" t="s">
        <v>613</v>
      </c>
      <c r="G15" s="25"/>
    </row>
    <row r="16" spans="1:7" ht="99" customHeight="1">
      <c r="A16" s="299"/>
      <c r="B16" s="306"/>
      <c r="C16" s="297"/>
      <c r="D16" s="309"/>
      <c r="E16" s="165"/>
      <c r="F16" s="165" t="s">
        <v>611</v>
      </c>
      <c r="G16" s="25"/>
    </row>
    <row r="17" spans="1:7" ht="63" customHeight="1">
      <c r="A17" s="299"/>
      <c r="B17" s="307"/>
      <c r="C17" s="298"/>
      <c r="D17" s="310"/>
      <c r="E17" s="27"/>
      <c r="F17" s="27" t="s">
        <v>612</v>
      </c>
      <c r="G17" s="25"/>
    </row>
    <row r="18" spans="1:7" ht="117" customHeight="1">
      <c r="A18" s="299"/>
      <c r="B18" s="305">
        <v>2.02</v>
      </c>
      <c r="C18" s="296" t="s">
        <v>1078</v>
      </c>
      <c r="D18" s="308" t="s">
        <v>2230</v>
      </c>
      <c r="E18" s="164" t="s">
        <v>435</v>
      </c>
      <c r="F18" s="164" t="s">
        <v>521</v>
      </c>
      <c r="G18" s="25"/>
    </row>
    <row r="19" spans="1:7" ht="71.099999999999994" customHeight="1">
      <c r="A19" s="299"/>
      <c r="B19" s="306"/>
      <c r="C19" s="297"/>
      <c r="D19" s="309"/>
      <c r="E19" s="165" t="s">
        <v>525</v>
      </c>
      <c r="F19" s="165" t="s">
        <v>436</v>
      </c>
      <c r="G19" s="25"/>
    </row>
    <row r="20" spans="1:7" ht="90.75" customHeight="1">
      <c r="A20" s="299"/>
      <c r="B20" s="306"/>
      <c r="C20" s="297"/>
      <c r="D20" s="309"/>
      <c r="E20" s="165"/>
      <c r="F20" s="165" t="s">
        <v>615</v>
      </c>
      <c r="G20" s="25"/>
    </row>
    <row r="21" spans="1:7" ht="74.25" customHeight="1">
      <c r="A21" s="299"/>
      <c r="B21" s="307"/>
      <c r="C21" s="298"/>
      <c r="D21" s="310"/>
      <c r="E21" s="27"/>
      <c r="F21" s="27" t="s">
        <v>614</v>
      </c>
      <c r="G21" s="25"/>
    </row>
    <row r="22" spans="1:7" ht="90" customHeight="1">
      <c r="A22" s="299"/>
      <c r="B22" s="314">
        <v>2.0299999999999998</v>
      </c>
      <c r="C22" s="314" t="s">
        <v>812</v>
      </c>
      <c r="D22" s="293" t="s">
        <v>2231</v>
      </c>
      <c r="E22" s="296" t="s">
        <v>433</v>
      </c>
      <c r="F22" s="164" t="s">
        <v>456</v>
      </c>
      <c r="G22" s="25"/>
    </row>
    <row r="23" spans="1:7" ht="109.5" customHeight="1">
      <c r="A23" s="299"/>
      <c r="B23" s="315"/>
      <c r="C23" s="315"/>
      <c r="D23" s="294"/>
      <c r="E23" s="297"/>
      <c r="F23" s="165" t="s">
        <v>813</v>
      </c>
      <c r="G23" s="25"/>
    </row>
    <row r="24" spans="1:7" ht="74.25" customHeight="1">
      <c r="A24" s="299"/>
      <c r="B24" s="316"/>
      <c r="C24" s="316"/>
      <c r="D24" s="295"/>
      <c r="E24" s="298"/>
      <c r="F24" s="27" t="s">
        <v>432</v>
      </c>
      <c r="G24" s="25"/>
    </row>
    <row r="25" spans="1:7" ht="72" customHeight="1">
      <c r="A25" s="299"/>
      <c r="B25" s="2" t="s">
        <v>454</v>
      </c>
      <c r="C25" s="27" t="s">
        <v>455</v>
      </c>
      <c r="D25" s="28" t="s">
        <v>2232</v>
      </c>
      <c r="E25" s="27" t="s">
        <v>2227</v>
      </c>
      <c r="F25" s="27" t="s">
        <v>457</v>
      </c>
      <c r="G25" s="25"/>
    </row>
    <row r="26" spans="1:7" ht="98.1" customHeight="1">
      <c r="A26" s="299"/>
      <c r="B26" s="311">
        <v>3</v>
      </c>
      <c r="C26" s="305" t="s">
        <v>67</v>
      </c>
      <c r="D26" s="308" t="s">
        <v>2233</v>
      </c>
      <c r="E26" s="296" t="s">
        <v>0</v>
      </c>
      <c r="F26" s="164" t="s">
        <v>61</v>
      </c>
      <c r="G26" s="25"/>
    </row>
    <row r="27" spans="1:7" ht="90" customHeight="1">
      <c r="A27" s="299"/>
      <c r="B27" s="312"/>
      <c r="C27" s="306"/>
      <c r="D27" s="309"/>
      <c r="E27" s="297"/>
      <c r="F27" s="165" t="s">
        <v>56</v>
      </c>
      <c r="G27" s="25"/>
    </row>
    <row r="28" spans="1:7" ht="19.350000000000001" customHeight="1">
      <c r="A28" s="299"/>
      <c r="B28" s="312"/>
      <c r="C28" s="306"/>
      <c r="D28" s="309"/>
      <c r="E28" s="297"/>
      <c r="F28" s="165" t="s">
        <v>57</v>
      </c>
      <c r="G28" s="25"/>
    </row>
    <row r="29" spans="1:7" ht="74.45" customHeight="1">
      <c r="A29" s="299"/>
      <c r="B29" s="312"/>
      <c r="C29" s="306"/>
      <c r="D29" s="309"/>
      <c r="E29" s="297"/>
      <c r="F29" s="165" t="s">
        <v>58</v>
      </c>
      <c r="G29" s="25"/>
    </row>
    <row r="30" spans="1:7" ht="62.45" customHeight="1">
      <c r="A30" s="299"/>
      <c r="B30" s="312"/>
      <c r="C30" s="306"/>
      <c r="D30" s="309"/>
      <c r="E30" s="297"/>
      <c r="F30" s="165" t="s">
        <v>59</v>
      </c>
      <c r="G30" s="25"/>
    </row>
    <row r="31" spans="1:7" ht="81" customHeight="1">
      <c r="A31" s="299"/>
      <c r="B31" s="312"/>
      <c r="C31" s="306"/>
      <c r="D31" s="309"/>
      <c r="E31" s="297"/>
      <c r="F31" s="165" t="s">
        <v>60</v>
      </c>
      <c r="G31" s="25"/>
    </row>
    <row r="32" spans="1:7" ht="48.75" customHeight="1">
      <c r="A32" s="299"/>
      <c r="B32" s="312"/>
      <c r="C32" s="306"/>
      <c r="D32" s="309"/>
      <c r="E32" s="297"/>
      <c r="F32" s="165" t="s">
        <v>63</v>
      </c>
      <c r="G32" s="25"/>
    </row>
    <row r="33" spans="1:7" ht="98.45" customHeight="1">
      <c r="A33" s="299"/>
      <c r="B33" s="312"/>
      <c r="C33" s="306"/>
      <c r="D33" s="309"/>
      <c r="E33" s="297"/>
      <c r="F33" s="165" t="s">
        <v>62</v>
      </c>
      <c r="G33" s="25"/>
    </row>
    <row r="34" spans="1:7" ht="89.1" customHeight="1">
      <c r="A34" s="299"/>
      <c r="B34" s="312"/>
      <c r="C34" s="306"/>
      <c r="D34" s="309"/>
      <c r="E34" s="297"/>
      <c r="F34" s="165" t="s">
        <v>64</v>
      </c>
      <c r="G34" s="25"/>
    </row>
    <row r="35" spans="1:7" ht="29.1" customHeight="1">
      <c r="A35" s="299"/>
      <c r="B35" s="312"/>
      <c r="C35" s="306"/>
      <c r="D35" s="309"/>
      <c r="E35" s="297"/>
      <c r="F35" s="165" t="s">
        <v>65</v>
      </c>
      <c r="G35" s="25"/>
    </row>
    <row r="36" spans="1:7" ht="126.75">
      <c r="A36" s="299"/>
      <c r="B36" s="313"/>
      <c r="C36" s="307"/>
      <c r="D36" s="310"/>
      <c r="E36" s="298"/>
      <c r="F36" s="166" t="s">
        <v>66</v>
      </c>
      <c r="G36" s="25"/>
    </row>
    <row r="37" spans="1:7" ht="123.75">
      <c r="A37" s="299"/>
      <c r="B37" s="141">
        <v>3.01</v>
      </c>
      <c r="C37" s="142" t="s">
        <v>67</v>
      </c>
      <c r="D37" s="28" t="s">
        <v>2234</v>
      </c>
      <c r="E37" s="167" t="s">
        <v>1316</v>
      </c>
      <c r="F37" s="168" t="s">
        <v>1420</v>
      </c>
      <c r="G37" s="25"/>
    </row>
    <row r="38" spans="1:7" ht="112.5">
      <c r="A38" s="299"/>
      <c r="B38" s="141">
        <v>3.02</v>
      </c>
      <c r="C38" s="142" t="s">
        <v>1349</v>
      </c>
      <c r="D38" s="28" t="s">
        <v>2235</v>
      </c>
      <c r="E38" s="167" t="s">
        <v>1364</v>
      </c>
      <c r="F38" s="168" t="s">
        <v>1421</v>
      </c>
      <c r="G38" s="25"/>
    </row>
    <row r="39" spans="1:7" ht="101.25">
      <c r="A39" s="299"/>
      <c r="B39" s="150">
        <v>4</v>
      </c>
      <c r="C39" s="149" t="s">
        <v>1517</v>
      </c>
      <c r="D39" s="28" t="s">
        <v>2236</v>
      </c>
      <c r="E39" s="27" t="s">
        <v>2182</v>
      </c>
      <c r="F39" s="27" t="s">
        <v>1518</v>
      </c>
      <c r="G39" s="25"/>
    </row>
    <row r="40" spans="1:7" ht="56.25">
      <c r="A40" s="299"/>
      <c r="B40" s="141">
        <v>4.01</v>
      </c>
      <c r="C40" s="149" t="s">
        <v>1517</v>
      </c>
      <c r="D40" s="28" t="s">
        <v>2238</v>
      </c>
      <c r="E40" s="27" t="s">
        <v>2194</v>
      </c>
      <c r="F40" s="27" t="s">
        <v>2198</v>
      </c>
      <c r="G40" s="25"/>
    </row>
    <row r="41" spans="1:7" ht="56.25">
      <c r="A41" s="299"/>
      <c r="B41" s="141" t="s">
        <v>2225</v>
      </c>
      <c r="C41" s="149" t="s">
        <v>1517</v>
      </c>
      <c r="D41" s="28" t="s">
        <v>2237</v>
      </c>
      <c r="E41" s="27" t="s">
        <v>2228</v>
      </c>
      <c r="F41" s="27" t="s">
        <v>2226</v>
      </c>
      <c r="G41" s="25"/>
    </row>
    <row r="42" spans="1:7" ht="56.25">
      <c r="A42" s="299"/>
      <c r="B42" s="141" t="s">
        <v>2259</v>
      </c>
      <c r="C42" s="149" t="s">
        <v>1517</v>
      </c>
      <c r="D42" s="28" t="s">
        <v>2264</v>
      </c>
      <c r="E42" s="27" t="s">
        <v>2227</v>
      </c>
      <c r="F42" s="27" t="s">
        <v>2260</v>
      </c>
      <c r="G42" s="25"/>
    </row>
    <row r="43" spans="1:7" ht="123.75">
      <c r="A43" s="299"/>
      <c r="B43" s="160">
        <v>4.0999999999999996</v>
      </c>
      <c r="C43" s="149" t="s">
        <v>2263</v>
      </c>
      <c r="D43" s="161">
        <v>42867</v>
      </c>
      <c r="E43" s="169" t="s">
        <v>2266</v>
      </c>
      <c r="F43" s="27" t="s">
        <v>2265</v>
      </c>
      <c r="G43" s="25"/>
    </row>
    <row r="44" spans="1:7" ht="78.75">
      <c r="A44" s="299"/>
      <c r="B44" s="160">
        <v>4.2</v>
      </c>
      <c r="C44" s="149" t="s">
        <v>2263</v>
      </c>
      <c r="D44" s="161">
        <v>42704</v>
      </c>
      <c r="E44" s="169" t="s">
        <v>2462</v>
      </c>
      <c r="F44" s="27" t="s">
        <v>2437</v>
      </c>
      <c r="G44" s="25"/>
    </row>
    <row r="45" spans="1:7" ht="157.5">
      <c r="A45" s="299"/>
      <c r="B45" s="202">
        <v>5</v>
      </c>
      <c r="C45" s="149" t="s">
        <v>2263</v>
      </c>
      <c r="D45" s="161">
        <v>42867</v>
      </c>
      <c r="E45" s="169" t="s">
        <v>12683</v>
      </c>
      <c r="F45" s="27" t="s">
        <v>12405</v>
      </c>
      <c r="G45" s="25"/>
    </row>
    <row r="46" spans="1:7" ht="45">
      <c r="A46" s="299"/>
      <c r="B46" s="160">
        <v>5.01</v>
      </c>
      <c r="C46" s="149" t="s">
        <v>2263</v>
      </c>
      <c r="D46" s="161">
        <v>42907</v>
      </c>
      <c r="E46" s="169" t="s">
        <v>15484</v>
      </c>
      <c r="F46" s="27" t="s">
        <v>12405</v>
      </c>
      <c r="G46" s="25"/>
    </row>
    <row r="47" spans="1:7" ht="67.5">
      <c r="A47" s="299"/>
      <c r="B47" s="160">
        <v>5.0999999999999996</v>
      </c>
      <c r="C47" s="149" t="s">
        <v>2263</v>
      </c>
      <c r="D47" s="161">
        <v>43070</v>
      </c>
      <c r="E47" s="169" t="s">
        <v>12893</v>
      </c>
      <c r="F47" s="27" t="s">
        <v>12894</v>
      </c>
      <c r="G47" s="25"/>
    </row>
    <row r="48" spans="1:7" ht="56.25">
      <c r="A48" s="299"/>
      <c r="B48" s="160">
        <v>5.1100000000000003</v>
      </c>
      <c r="C48" s="149" t="s">
        <v>13129</v>
      </c>
      <c r="D48" s="161">
        <v>43217</v>
      </c>
      <c r="E48" s="169" t="s">
        <v>13255</v>
      </c>
      <c r="F48" s="27" t="s">
        <v>13163</v>
      </c>
      <c r="G48" s="25"/>
    </row>
    <row r="49" spans="1:7" ht="56.25">
      <c r="A49" s="299"/>
      <c r="B49" s="160">
        <v>5.12</v>
      </c>
      <c r="C49" s="149" t="s">
        <v>13129</v>
      </c>
      <c r="D49" s="161">
        <v>43581</v>
      </c>
      <c r="E49" s="169" t="s">
        <v>13255</v>
      </c>
      <c r="F49" s="27" t="s">
        <v>13807</v>
      </c>
      <c r="G49" s="25"/>
    </row>
    <row r="50" spans="1:7" ht="78.75">
      <c r="A50" s="299"/>
      <c r="B50" s="202">
        <v>6</v>
      </c>
      <c r="C50" s="149" t="s">
        <v>13129</v>
      </c>
      <c r="D50" s="161">
        <v>43964</v>
      </c>
      <c r="E50" s="169" t="s">
        <v>14020</v>
      </c>
      <c r="F50" s="27" t="s">
        <v>13810</v>
      </c>
      <c r="G50" s="25"/>
    </row>
    <row r="51" spans="1:7" ht="45">
      <c r="A51" s="299"/>
      <c r="B51" s="160">
        <v>6.01</v>
      </c>
      <c r="C51" s="149" t="s">
        <v>13129</v>
      </c>
      <c r="D51" s="161">
        <v>43970</v>
      </c>
      <c r="E51" s="169" t="s">
        <v>15485</v>
      </c>
      <c r="F51" s="169" t="s">
        <v>13810</v>
      </c>
      <c r="G51" s="25"/>
    </row>
    <row r="52" spans="1:7" ht="45">
      <c r="A52" s="299"/>
      <c r="B52" s="160">
        <v>6.1</v>
      </c>
      <c r="C52" s="149" t="s">
        <v>13129</v>
      </c>
      <c r="D52" s="161">
        <v>44314</v>
      </c>
      <c r="E52" s="169" t="s">
        <v>15477</v>
      </c>
      <c r="F52" s="169" t="s">
        <v>15015</v>
      </c>
      <c r="G52" s="25"/>
    </row>
    <row r="53" spans="1:7" ht="45">
      <c r="A53" s="299"/>
      <c r="B53" s="160">
        <v>6.2</v>
      </c>
      <c r="C53" s="149" t="s">
        <v>13129</v>
      </c>
      <c r="D53" s="161">
        <v>44678</v>
      </c>
      <c r="E53" s="169" t="s">
        <v>15477</v>
      </c>
      <c r="F53" s="169" t="s">
        <v>15476</v>
      </c>
      <c r="G53" s="25"/>
    </row>
    <row r="54" spans="1:7" ht="45">
      <c r="A54" s="299"/>
      <c r="B54" s="160">
        <v>6.21</v>
      </c>
      <c r="C54" s="149" t="s">
        <v>13129</v>
      </c>
      <c r="D54" s="161">
        <v>44687</v>
      </c>
      <c r="E54" s="169" t="s">
        <v>15486</v>
      </c>
      <c r="F54" s="169" t="s">
        <v>15476</v>
      </c>
      <c r="G54" s="25"/>
    </row>
    <row r="55" spans="1:7" ht="45">
      <c r="A55" s="299"/>
      <c r="B55" s="160">
        <v>6.22</v>
      </c>
      <c r="C55" s="149" t="s">
        <v>13129</v>
      </c>
      <c r="D55" s="275">
        <v>44692</v>
      </c>
      <c r="E55" s="169" t="s">
        <v>15485</v>
      </c>
      <c r="F55" s="169" t="s">
        <v>15476</v>
      </c>
      <c r="G55" s="25"/>
    </row>
    <row r="56" spans="1:7" ht="56.25">
      <c r="A56" s="299"/>
      <c r="B56" s="202">
        <v>6.3</v>
      </c>
      <c r="C56" s="149" t="s">
        <v>13129</v>
      </c>
      <c r="D56" s="275">
        <v>45051</v>
      </c>
      <c r="E56" s="169" t="s">
        <v>15753</v>
      </c>
      <c r="F56" s="169" t="s">
        <v>15534</v>
      </c>
      <c r="G56" s="25"/>
    </row>
    <row r="57" spans="1:7" ht="45">
      <c r="A57" s="299"/>
      <c r="B57" s="160">
        <v>6.31</v>
      </c>
      <c r="C57" s="149" t="s">
        <v>13129</v>
      </c>
      <c r="D57" s="275">
        <v>45072</v>
      </c>
      <c r="E57" s="169" t="s">
        <v>15755</v>
      </c>
      <c r="F57" s="169" t="s">
        <v>15534</v>
      </c>
      <c r="G57" s="25"/>
    </row>
    <row r="58" spans="1:7" ht="44.45" customHeight="1">
      <c r="A58" s="299"/>
      <c r="B58" s="202">
        <v>6.4</v>
      </c>
      <c r="C58" s="149" t="s">
        <v>13129</v>
      </c>
      <c r="D58" s="275">
        <v>45408</v>
      </c>
      <c r="E58" s="169" t="s">
        <v>15757</v>
      </c>
      <c r="F58" s="169" t="s">
        <v>15756</v>
      </c>
      <c r="G58" s="25"/>
    </row>
    <row r="59" spans="1:7" ht="13.5" thickBot="1">
      <c r="A59" s="300"/>
      <c r="B59" s="301" t="str">
        <f ca="1">OFFSET(L!$C$1,MATCH("General"&amp;"Cpy",L!$A:$A,0)-1,SL,,)</f>
        <v>© 2023 Responsible Minerals Initiative. All rights reserved.</v>
      </c>
      <c r="C59" s="301"/>
      <c r="D59" s="301"/>
      <c r="E59" s="301"/>
      <c r="F59" s="301"/>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438</v>
      </c>
    </row>
    <row r="2" spans="1:2" ht="30">
      <c r="A2" s="105" t="str">
        <f ca="1">OFFSET(L!$C$1,MATCH("Instructions"&amp;ADDRESS(ROW(),COLUMN(),4),L!$A:$A,0)-1,SL,,)</f>
        <v>Einführung</v>
      </c>
      <c r="B2" s="100" t="s">
        <v>1292</v>
      </c>
    </row>
    <row r="3" spans="1:2" ht="165">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1293</v>
      </c>
    </row>
    <row r="4" spans="1:2" ht="222.6"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1299</v>
      </c>
    </row>
    <row r="5" spans="1:2" ht="15">
      <c r="A5" s="106"/>
      <c r="B5" s="100"/>
    </row>
    <row r="6" spans="1:2" ht="30">
      <c r="A6" s="105" t="str">
        <f ca="1">OFFSET(L!$C$1,MATCH("Instructions"&amp;ADDRESS(ROW(),COLUMN(),4),L!$A:$A,0)-1,SL,,)</f>
        <v>Anleitung zum Ausfüllen von Informationen zu Unternehmen (Zeilen 8 - 22).  Die Kommentare nur in englischer Sprache.</v>
      </c>
      <c r="B6" s="100" t="s">
        <v>1292</v>
      </c>
    </row>
    <row r="7" spans="1:2" ht="15">
      <c r="A7" s="237" t="str">
        <f ca="1">OFFSET(L!$C$1,MATCH("Instructions"&amp;ADDRESS(ROW(),COLUMN(),4),L!$A:$A,0)-1,SL,,)</f>
        <v>Hinweis: Eingaben mit (*) sind Pflichtfelder</v>
      </c>
      <c r="B7" s="100"/>
    </row>
    <row r="8" spans="1:2" ht="30">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1291</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
      <c r="A12" s="102" t="str">
        <f ca="1">OFFSET(L!$C$1,MATCH("Instructions"&amp;ADDRESS(ROW(),COLUMN(),4),L!$A:$A,0)-1,SL,,)</f>
        <v>5. Geben Sie Ihre vollständige Firmenanschrift an (Straße, Stadt, Postleitzahl,  Bundesland).  Dieses Feld ist optional.</v>
      </c>
      <c r="B12" s="100" t="s">
        <v>1292</v>
      </c>
    </row>
    <row r="13" spans="1:2" ht="33.75" customHeight="1">
      <c r="A13" s="102" t="str">
        <f ca="1">OFFSET(L!$C$1,MATCH("Instructions"&amp;ADDRESS(ROW(),COLUMN(),4),L!$A:$A,0)-1,SL,,)</f>
        <v>6. Geben Sie den Namen der Kontaktperson zum Inhalt der Erklärung an. Dies ist ein obligatorisches Feld.</v>
      </c>
      <c r="B13" s="100"/>
    </row>
    <row r="14" spans="1:2" ht="30">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5">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
      <c r="A17" s="102" t="str">
        <f ca="1">OFFSET(L!$C$1,MATCH("Instructions"&amp;ADDRESS(ROW(),COLUMN(),4),L!$A:$A,0)-1,SL,,)</f>
        <v>10. Geben Sie den Titel für den Namen des Bevollmächtigten an. Dieses Feld ist optional.</v>
      </c>
      <c r="B17" s="100"/>
    </row>
    <row r="18" spans="1:2" ht="30">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
      <c r="A21" s="102" t="str">
        <f ca="1">OFFSET(L!$C$1,MATCH("Instructions"&amp;ADDRESS(ROW(),COLUMN(),4),L!$A:$A,0)-1,SL,,)</f>
        <v>14. Zum Beispiel kann der Benutzer die Datei unter dem Namen speichern: companyname-datum.xls (Datum im Format JJJJ-MM-TT).</v>
      </c>
      <c r="B21" s="100" t="s">
        <v>1292</v>
      </c>
    </row>
    <row r="22" spans="1:2" ht="15">
      <c r="A22" s="106"/>
      <c r="B22" s="100"/>
    </row>
    <row r="23" spans="1:2" ht="30">
      <c r="A23" s="105" t="str">
        <f ca="1">OFFSET(L!$C$1,MATCH("Instructions"&amp;ADDRESS(ROW(),COLUMN(),4),L!$A:$A,0)-1,SL,,)</f>
        <v>Anweisungen zum Ausfüllen der acht Fragen zur Sorgfaltsprüfung (Zeilen 24 - 71).
Bitte geben Sie Ihre Antworten nur auf ENGLISCH</v>
      </c>
      <c r="B23" s="100" t="s">
        <v>1292</v>
      </c>
    </row>
    <row r="24" spans="1:2" ht="80.45"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1295</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1292</v>
      </c>
    </row>
    <row r="26" spans="1:2" ht="280.7"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1292</v>
      </c>
    </row>
    <row r="27" spans="1:2" ht="30">
      <c r="A27" s="102" t="str">
        <f ca="1">OFFSET(L!$C$1,MATCH("Instructions"&amp;ADDRESS(ROW(),COLUMN(),4),L!$A:$A,0)-1,SL,,)</f>
        <v>Manche Unternehmen benötigen eine Begründung für eine "Nein" -Antwort im Kommentarfeld</v>
      </c>
      <c r="B27" s="100" t="s">
        <v>1292</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35"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1292</v>
      </c>
    </row>
    <row r="30" spans="1:2" ht="181.7"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35">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1292</v>
      </c>
    </row>
    <row r="32" spans="1:2" ht="234.6"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1295</v>
      </c>
    </row>
    <row r="33" spans="1:2" ht="75">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0">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1292</v>
      </c>
    </row>
    <row r="35" spans="1:2" ht="21" customHeight="1">
      <c r="A35" s="102" t="str">
        <f ca="1">OFFSET(L!$C$1,MATCH("Instructions"&amp;ADDRESS(ROW(),COLUMN(),4),L!$A:$A,0)-1,SL,,)</f>
        <v>Geben Sie, falls notwendig, Anmerkungen im Kommentarbereich ein, die für eine Klarstellung ihrer Antwort hilfreich sind.</v>
      </c>
      <c r="B35" s="100"/>
    </row>
    <row r="36" spans="1:2" ht="15">
      <c r="A36" s="106"/>
      <c r="B36" s="100"/>
    </row>
    <row r="37" spans="1:2" ht="45">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1292</v>
      </c>
    </row>
    <row r="38" spans="1:2" ht="135">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1294</v>
      </c>
    </row>
    <row r="39" spans="1:2" ht="60">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45"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5">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1297</v>
      </c>
    </row>
    <row r="42" spans="1:2" ht="180">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1295</v>
      </c>
    </row>
    <row r="43" spans="1:2" ht="150">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1296</v>
      </c>
    </row>
    <row r="44" spans="1:2" ht="135">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1292</v>
      </c>
    </row>
    <row r="45" spans="1:2" ht="120">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1293</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1292</v>
      </c>
    </row>
    <row r="47" spans="1:2" ht="15">
      <c r="A47" s="106"/>
      <c r="B47" s="100"/>
    </row>
    <row r="48" spans="1:2" ht="30">
      <c r="A48" s="105" t="str">
        <f ca="1">OFFSET(L!$C$1,MATCH("Instructions"&amp;ADDRESS(ROW(),COLUMN(),4),L!$A:$A,0)-1,SL,,)</f>
        <v>Anleitung zum Ausfüllen des Reiters "Smelter List". Bitte machen Sie ihre Angaben nur in englischer Sprache.</v>
      </c>
      <c r="B48" s="100" t="s">
        <v>1292</v>
      </c>
    </row>
    <row r="49" spans="1:2" ht="22.5" customHeight="1">
      <c r="A49" s="237" t="str">
        <f ca="1">OFFSET(L!$C$1,MATCH("Instructions"&amp;ADDRESS(ROW(),COLUMN(),4),L!$A:$A,0)-1,SL,,)</f>
        <v>Hinweis: Spalten mit (*) sind Pflichtfelder</v>
      </c>
      <c r="B49" s="100"/>
    </row>
    <row r="50" spans="1:2" ht="60">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1291</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1292</v>
      </c>
    </row>
    <row r="52" spans="1:2" ht="44.4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8.95"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1292</v>
      </c>
    </row>
    <row r="54" spans="1:2" ht="60">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1291</v>
      </c>
    </row>
    <row r="55" spans="1:2" ht="75">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1297</v>
      </c>
    </row>
    <row r="56" spans="1:2" ht="60">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1291</v>
      </c>
    </row>
    <row r="57" spans="1:2" ht="60">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1291</v>
      </c>
    </row>
    <row r="58" spans="1:2" ht="60">
      <c r="A58" s="102" t="str">
        <f ca="1">OFFSET(L!$C$1,MATCH("Instructions"&amp;ADDRESS(ROW(),COLUMN(),4),L!$A:$A,0)-1,SL,,)</f>
        <v>8. Straße der Schmelzhütte – Geben Sie den Straßennamen des Schmelzhüttenstandortes an. Das Ausfüllen dieses Feldes ist freiwillig.</v>
      </c>
      <c r="B58" s="100" t="s">
        <v>1291</v>
      </c>
    </row>
    <row r="59" spans="1:2" ht="30">
      <c r="A59" s="102" t="str">
        <f ca="1">OFFSET(L!$C$1,MATCH("Instructions"&amp;ADDRESS(ROW(),COLUMN(),4),L!$A:$A,0)-1,SL,,)</f>
        <v>9. Ort der Schmelzhütte – Geben Sie den Namen des Ortes an, in dem sich die Schmelzhütte befindet. Das Ausfüllen dieses Feldes ist freiwillig.</v>
      </c>
      <c r="B59" s="100" t="s">
        <v>1292</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1295</v>
      </c>
    </row>
    <row r="61" spans="1:2" ht="180">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1295</v>
      </c>
    </row>
    <row r="62" spans="1:2" ht="60">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1291</v>
      </c>
    </row>
    <row r="63" spans="1:2" ht="125.4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1291</v>
      </c>
    </row>
    <row r="64" spans="1:2" ht="136.35"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0">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
      <c r="A67" s="107"/>
      <c r="B67" s="100"/>
    </row>
    <row r="68" spans="1:2" ht="34.5" customHeight="1">
      <c r="A68" s="105" t="str">
        <f ca="1">OFFSET(L!$C$1,MATCH("Instructions"&amp;ADDRESS(ROW(),COLUMN(),4),L!$A:$A,0)-1,SL,,)</f>
        <v>Allgemeine Geschäftsbedingungen (AGB)</v>
      </c>
      <c r="B68" s="100"/>
    </row>
    <row r="69" spans="1:2" ht="15">
      <c r="A69" s="107"/>
      <c r="B69" s="100"/>
    </row>
    <row r="70" spans="1:2" ht="80.45"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1292</v>
      </c>
    </row>
    <row r="71" spans="1:2" ht="93.6"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1298</v>
      </c>
    </row>
    <row r="72" spans="1:2" ht="155.44999999999999"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1296</v>
      </c>
    </row>
    <row r="73" spans="1:2" ht="75">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1297</v>
      </c>
    </row>
    <row r="74" spans="1:2" ht="30">
      <c r="A74" s="102"/>
      <c r="B74" s="100" t="s">
        <v>437</v>
      </c>
    </row>
    <row r="75" spans="1:2" ht="15">
      <c r="A75" s="102" t="str">
        <f ca="1">OFFSET(L!$C$1,MATCH("General"&amp;"Cpy",L!$A:$A,0)-1,SL,,)</f>
        <v>© 2023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Posten</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Zinn, Tantal, Wolfram, Gold</v>
      </c>
      <c r="D3" s="321"/>
      <c r="E3" s="100" t="s">
        <v>1300</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1"/>
      <c r="E4" s="100"/>
    </row>
    <row r="5" spans="1:5" ht="60">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1"/>
      <c r="E5" s="100"/>
    </row>
    <row r="6" spans="1:5" ht="151.35"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1"/>
      <c r="E6" s="100" t="s">
        <v>1301</v>
      </c>
    </row>
    <row r="7" spans="1:5" ht="105.6"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1"/>
      <c r="E7" s="100" t="s">
        <v>1301</v>
      </c>
    </row>
    <row r="8" spans="1:5" ht="135">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1"/>
      <c r="E8" s="100" t="s">
        <v>1304</v>
      </c>
    </row>
    <row r="9" spans="1:5" ht="60">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1"/>
      <c r="E9" s="100" t="s">
        <v>1301</v>
      </c>
    </row>
    <row r="10" spans="1:5" ht="45">
      <c r="A10" s="74"/>
      <c r="B10" s="63" t="str">
        <f ca="1">OFFSET(L!$C$1,MATCH("Definitions"&amp;ADDRESS(ROW(),COLUMN(),4),L!$A:$A,0)-1,SL,,)</f>
        <v>DRK</v>
      </c>
      <c r="C10" s="63" t="str">
        <f ca="1">OFFSET(L!$C$1,MATCH("Definitions"&amp;ADDRESS(ROW(),COLUMN(),4),L!$A:$A,0)-1,SL,,)</f>
        <v>Demokratische Republik Kongo</v>
      </c>
      <c r="D10" s="321"/>
      <c r="E10" s="100" t="s">
        <v>1300</v>
      </c>
    </row>
    <row r="11" spans="1:5" ht="60"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1"/>
      <c r="E11" s="100" t="s">
        <v>1300</v>
      </c>
    </row>
    <row r="12" spans="1:5" ht="60">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21"/>
      <c r="E12" s="100" t="s">
        <v>1300</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1"/>
      <c r="E13" s="100" t="s">
        <v>1302</v>
      </c>
    </row>
    <row r="14" spans="1:5" ht="300">
      <c r="A14" s="74"/>
      <c r="B14" s="63" t="str">
        <f ca="1">OFFSET(L!$C$1,MATCH("Definitions"&amp;ADDRESS(ROW(),COLUMN(),4),L!$A:$A,0)-1,SL,,)</f>
        <v>Absichtlich hinzugefügt</v>
      </c>
      <c r="C14" s="63"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1"/>
      <c r="E14" s="100" t="s">
        <v>1300</v>
      </c>
    </row>
    <row r="15" spans="1:5" ht="135">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1"/>
      <c r="E15" s="100" t="s">
        <v>1300</v>
      </c>
    </row>
    <row r="16" spans="1:5" ht="60">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1"/>
      <c r="E16" s="100" t="s">
        <v>1300</v>
      </c>
    </row>
    <row r="17" spans="1:5" ht="180">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1"/>
      <c r="E17" s="100" t="s">
        <v>1300</v>
      </c>
    </row>
    <row r="18" spans="1:5" ht="150">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1"/>
      <c r="E18" s="100" t="s">
        <v>1300</v>
      </c>
    </row>
    <row r="19" spans="1:5" ht="15">
      <c r="A19" s="74"/>
      <c r="B19" s="63" t="str">
        <f ca="1">OFFSET(L!$C$1,MATCH("Definitions"&amp;ADDRESS(ROW(),COLUMN(),4),L!$A:$A,0)-1,SL,,)</f>
        <v>OECD</v>
      </c>
      <c r="C19" s="63" t="str">
        <f ca="1">OFFSET(L!$C$1,MATCH("Definitions"&amp;ADDRESS(ROW(),COLUMN(),4),L!$A:$A,0)-1,SL,,)</f>
        <v>Organisation für wirtschaftliche Zusammenarbeit und Entwicklung</v>
      </c>
      <c r="D19" s="321"/>
      <c r="E19" s="100"/>
    </row>
    <row r="20" spans="1:5" ht="45">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1"/>
      <c r="E22" s="100"/>
    </row>
    <row r="23" spans="1:5" ht="60">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1"/>
      <c r="E24" s="100"/>
    </row>
    <row r="25" spans="1:5" ht="177.6"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1"/>
      <c r="E27" s="100" t="s">
        <v>1300</v>
      </c>
    </row>
    <row r="28" spans="1:5" ht="60">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1"/>
      <c r="E28" s="100" t="s">
        <v>1301</v>
      </c>
    </row>
    <row r="29" spans="1:5" ht="90">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21"/>
      <c r="E29" s="100" t="s">
        <v>1302</v>
      </c>
    </row>
    <row r="30" spans="1:5" ht="151.69999999999999"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21"/>
      <c r="E30" s="100" t="s">
        <v>1303</v>
      </c>
    </row>
    <row r="31" spans="1:5" ht="137.1"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2" zoomScalePageLayoutView="70" workbookViewId="0">
      <selection activeCell="D3" sqref="D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532</v>
      </c>
      <c r="E3" s="3"/>
      <c r="F3" s="357"/>
      <c r="G3" s="357"/>
      <c r="H3" s="357"/>
      <c r="I3" s="152"/>
      <c r="J3" s="138" t="s">
        <v>15760</v>
      </c>
      <c r="K3" s="36"/>
      <c r="L3" s="100"/>
      <c r="P3" s="45">
        <f>MATCH($D$3,LN,0)</f>
        <v>7</v>
      </c>
    </row>
    <row r="4" spans="1:34" ht="15.75">
      <c r="A4" s="34"/>
      <c r="B4" s="353" t="str">
        <f ca="1">OFFSET(L!$C$1,MATCH("Declaration"&amp;ADDRESS(ROW(),COLUMN(),4),L!$A:$A,0)-1,SL,,)</f>
        <v>Der Zweck dieses Dokuments ist die Erfassung von Beschaffungsinformationen für Zinn, Tantal, Wolfram und Gold, welche in Produkten genutzt werden.</v>
      </c>
      <c r="C4" s="353"/>
      <c r="D4" s="353"/>
      <c r="E4" s="353"/>
      <c r="F4" s="353"/>
      <c r="G4" s="353"/>
      <c r="H4" s="353"/>
      <c r="I4" s="358" t="str">
        <f ca="1">OFFSET(L!$C$1,MATCH("Declaration"&amp;ADDRESS(ROW(),COLUMN(),4),L!$A:$A,0)-1,SL,,)</f>
        <v>Link zu den Bedingungen</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Pflichtfelder sind mit einem Sternchen (*) gekennzeichnet.  Im Tab „Instruktionen“ finden Sie eine Anleitung zur Beantwortung aller Fragen.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Firmenangaben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Firmenname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Geltungsbereich der Erklärung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Beschreibung des Geltungsbereichs</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Eindeutige Unternehmenskennung:</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Zuständige Stelle im Unternehmen:</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Adresse:</v>
      </c>
      <c r="C14" s="77"/>
      <c r="D14" s="350" t="s">
        <v>15860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Name des Ansprechpartners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E-Mail-Adresse des Ansprechpartners (*):</v>
      </c>
      <c r="C16" s="77"/>
      <c r="D16" s="365" t="s">
        <v>15861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Telefonnummer des Ansprechpartners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Bevollmächtigter (*):</v>
      </c>
      <c r="C18" s="77"/>
      <c r="D18" s="383" t="s">
        <v>15859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Titel des Bevollmächtigten:</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E-Mail-Adresse des Bevollmächtigten (*):</v>
      </c>
      <c r="C20" s="77"/>
      <c r="D20" s="365" t="s">
        <v>15861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Telefonnummer des Bevollmächtigten:</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Datum (*):</v>
      </c>
      <c r="C22" s="78"/>
      <c r="D22" s="328">
        <v>45705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Beantworten Sie die Fragen 1 - 8 entsprechend dem oben angegebenen Geltungsbereich</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Wird absichtlich ein 3TG-Mineral im Herstellungsprozess verwendet oder in das/die Produkt(e) aufgenommen? (*)</v>
      </c>
      <c r="C25" s="17"/>
      <c r="D25" s="337" t="str">
        <f ca="1">OFFSET(L!$C$1,MATCH("Declaration"&amp;ADDRESS(ROW(),COLUMN(),4),L!$A:$A,0)-1,SL,,)</f>
        <v>Antwort</v>
      </c>
      <c r="E25" s="337"/>
      <c r="F25" s="18"/>
      <c r="G25" s="44" t="str">
        <f ca="1">OFFSET(L!$C$1,MATCH("Declaration"&amp;ADDRESS(ROW(),COLUMN(),4),L!$A:$A,0)-1,SL,,)</f>
        <v>Kommentare</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Zinn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Wolfram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Liegen in dem/den Produkt(en) 3TG-Rückstände vor?  (*)</v>
      </c>
      <c r="C31" s="10"/>
      <c r="D31" s="331" t="str">
        <f ca="1">D25</f>
        <v>Antwort</v>
      </c>
      <c r="E31" s="331"/>
      <c r="F31" s="18"/>
      <c r="G31" s="44" t="str">
        <f ca="1">G25</f>
        <v>Kommentare</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Zinn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Wolfram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Beschaffen Schmelzhütten in Ihrer Lieferkette das 3TG-Mineral aus den umfassten Ländern? (SEC-Begriff, siehe Definitions-Tab) (*)</v>
      </c>
      <c r="C37" s="10"/>
      <c r="D37" s="331" t="str">
        <f ca="1">D25</f>
        <v>Antwort</v>
      </c>
      <c r="E37" s="331"/>
      <c r="F37" s="18"/>
      <c r="G37" s="44" t="str">
        <f ca="1">G25</f>
        <v>Kommentare</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7" customHeight="1">
      <c r="A39" s="41"/>
      <c r="B39" s="40" t="str">
        <f ca="1">OFFSET(L!$C$1,MATCH("Declaration"&amp;ADDRESS(ROW(),COLUMN(),4),L!$A:$A,0)-1,SL,,)&amp;P39</f>
        <v>Zinn  (*)</v>
      </c>
      <c r="C39" s="10"/>
      <c r="D39" s="326" t="s">
        <v>484</v>
      </c>
      <c r="E39" s="327"/>
      <c r="F39" s="47"/>
      <c r="G39" s="334" t="s">
        <v>15864</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Wolfram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Beziehen Schmelzhütten in Ihrer Lieferkette ihre 3TG aus von Konflikten betroffenen und risikoreichen Gebieten? (*)</v>
      </c>
      <c r="C43" s="10"/>
      <c r="D43" s="331" t="str">
        <f ca="1">D25</f>
        <v>Antwort</v>
      </c>
      <c r="E43" s="331"/>
      <c r="F43" s="18"/>
      <c r="G43" s="44" t="str">
        <f ca="1">G25</f>
        <v>Kommentare</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8.5" customHeight="1">
      <c r="A45" s="41"/>
      <c r="B45" s="40" t="str">
        <f ca="1">OFFSET(L!$C$1,MATCH("Declaration"&amp;ADDRESS(ROW(),COLUMN(),4),L!$A:$A,0)-1,SL,,)&amp;P45</f>
        <v>Zinn  (*)</v>
      </c>
      <c r="C45" s="10"/>
      <c r="D45" s="326" t="s">
        <v>484</v>
      </c>
      <c r="E45" s="327"/>
      <c r="F45" s="47"/>
      <c r="G45" s="334" t="s">
        <v>15864</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Wolfram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Stammt das für die Funktionalität oder  Herstellung Ihrer Produkte benötigte 3TG-Mineral zu 100 % aus Recycling- oder Schrottquellen?  (*)</v>
      </c>
      <c r="C49" s="10"/>
      <c r="D49" s="331" t="str">
        <f ca="1">D25</f>
        <v>Antwort</v>
      </c>
      <c r="E49" s="331"/>
      <c r="F49" s="18"/>
      <c r="G49" s="44" t="str">
        <f ca="1">G25</f>
        <v>Kommentare</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Zinn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484</v>
      </c>
      <c r="E52" s="327"/>
      <c r="F52" s="47"/>
      <c r="G52" s="334" t="s">
        <v>15867</v>
      </c>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Wolfram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Wie hoch ist der Prozentsatz an Lieferanten, die auf Ihre Lieferkettenumfrage geantwortet haben? (*)</v>
      </c>
      <c r="C55" s="10"/>
      <c r="D55" s="331" t="str">
        <f ca="1">D25</f>
        <v>Antwort</v>
      </c>
      <c r="E55" s="331"/>
      <c r="F55" s="18"/>
      <c r="G55" s="44" t="str">
        <f ca="1">G25</f>
        <v>Kommentare</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Zinn  (*)</v>
      </c>
      <c r="C57" s="35"/>
      <c r="D57" s="368" t="s">
        <v>2463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15865</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Wolfram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Haben Sie alle Schmelzhütten ermittelt, die das 3TG-Mineral für Ihre Lieferkette bereitstellen?  (*)</v>
      </c>
      <c r="C61" s="10"/>
      <c r="D61" s="331" t="str">
        <f ca="1">D25</f>
        <v>Antwort</v>
      </c>
      <c r="E61" s="331"/>
      <c r="F61" s="18"/>
      <c r="G61" s="44" t="str">
        <f ca="1">G25</f>
        <v>Kommentare</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Zinn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Wolfram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Haben Sie alle relevanten Informationen, die Ihr Unternehmen zu den Schmelzhütten erhalten hat, in dieser Erklärung aufgeführt?  (*)</v>
      </c>
      <c r="C67" s="10"/>
      <c r="D67" s="331" t="str">
        <f ca="1">D25</f>
        <v>Antwort</v>
      </c>
      <c r="E67" s="331"/>
      <c r="F67" s="18"/>
      <c r="G67" s="44" t="str">
        <f ca="1">G25</f>
        <v>Kommentare</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Zinn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Wolfram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Beantworten Sie folgende Fragen auf Firmenebene</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Frage</v>
      </c>
      <c r="C74" s="81"/>
      <c r="D74" s="337" t="str">
        <f ca="1">D25</f>
        <v>Antwort</v>
      </c>
      <c r="E74" s="337"/>
      <c r="F74" s="53"/>
      <c r="G74" s="337" t="str">
        <f ca="1">G25</f>
        <v>Kommentare</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Haben Sie eine konfliktfreie Beschaffungsrichtlinie für Mineralien erstellt?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Ist Ihre konfliktfreie Beschaffungsrichtlinie für Mineralien auf Ihrer Website einsehbar? (Hinweis - Wenn „Ja“, sollte der Benutzer die URL im Anmerkungsfeld angeben.) (*)</v>
      </c>
      <c r="C77" s="57"/>
      <c r="D77" s="326" t="s">
        <v>484</v>
      </c>
      <c r="E77" s="327"/>
      <c r="F77" s="57"/>
      <c r="G77" s="338" t="s">
        <v>15866</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 (*)</v>
      </c>
      <c r="C83" s="57"/>
      <c r="D83" s="326" t="s">
        <v>14954</v>
      </c>
      <c r="E83" s="327"/>
      <c r="F83" s="57"/>
      <c r="G83" s="334" t="s">
        <v>14954</v>
      </c>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Sieht Ihr Review-Prozess ein Korrekturmaßnahmen-Management vor?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Ist Ihr Unternehmen zu einer jährlichen Offenlegung der Konfliktmineralien verpflichtet? (*)</v>
      </c>
      <c r="C89" s="57"/>
      <c r="D89" s="326" t="s">
        <v>13948</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6154118C-FC7B-407E-AC7F-062B074A4DD7}"/>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20" zoomScaleNormal="100" zoomScalePageLayoutView="55" workbookViewId="0">
      <selection activeCell="A5" sqref="A5:A38"/>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UM ZU BEGINNEN:</v>
      </c>
      <c r="C2" s="172"/>
      <c r="D2" s="172"/>
      <c r="E2" s="172"/>
      <c r="F2" s="193"/>
      <c r="G2" s="193"/>
      <c r="H2" s="193"/>
      <c r="I2" s="194"/>
      <c r="J2" s="387" t="str">
        <f ca="1">OFFSET(L!$C$1,MATCH("Smelter List"&amp;ADDRESS(ROW(),COLUMN(),4),L!$A:$A,0)-1,SL,,)</f>
        <v>Link zur "RMAP Conformant Smelter"- Liste</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89"/>
      <c r="D3" s="389"/>
      <c r="E3" s="389"/>
      <c r="F3" s="222"/>
      <c r="G3" s="390" t="str">
        <f ca="1">OFFSET(L!$C$1,MATCH("General"&amp;"Cpy",L!$A:$A,0)-1,SL,,)</f>
        <v>© 2023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12398</v>
      </c>
      <c r="S4" s="216" t="s">
        <v>12381</v>
      </c>
      <c r="T4" s="216" t="s">
        <v>12382</v>
      </c>
      <c r="U4" s="200"/>
      <c r="W4" s="159" t="s">
        <v>1312</v>
      </c>
      <c r="X4" s="159" t="s">
        <v>932</v>
      </c>
      <c r="AH4" s="145" t="s">
        <v>486</v>
      </c>
    </row>
    <row r="5" spans="1:34" s="227" customFormat="1" ht="20.100000000000001" customHeight="1">
      <c r="A5" s="262" t="s">
        <v>759</v>
      </c>
      <c r="B5" s="182" t="str">
        <f ca="1">IF(LEN(A5)=0,"",INDEX('Smelter Look-up'!$A:$A,MATCH($A5,'Smelter Look-up'!$E:$E,0)))</f>
        <v>Tin</v>
      </c>
      <c r="C5" s="186" t="str">
        <f ca="1">IF(LEN(A5)=0,"",INDEX('Smelter Look-up'!$C:$C,MATCH($A5,'Smelter Look-up'!$E:$E,0)))</f>
        <v>EM Vinto</v>
      </c>
      <c r="D5" s="230"/>
      <c r="E5" s="182" t="str">
        <f ca="1">IF(ISERROR($V5),"",OFFSET('Smelter Look-up'!$D$4,$V5-4,0)&amp;"")</f>
        <v>BOLIVIA (PLURINATIONAL STATE OF)</v>
      </c>
      <c r="F5" s="182" t="str">
        <f ca="1">IF(ISERROR($V5),"",OFFSET('Smelter Look-up'!$E$4,$V5-4,0))</f>
        <v>CID000438</v>
      </c>
      <c r="G5" s="182" t="str">
        <f ca="1">IF(C5=$X$4,IF(ISERROR($V5),"Enter smelter details","RMI"),IF(ISERROR($V5),"",OFFSET('Smelter Look-up'!$F$4,$V5-4,0)))</f>
        <v>RMI</v>
      </c>
      <c r="H5" s="183">
        <f ca="1">IF(ISERROR($V5),"",OFFSET('Smelter Look-up'!$G$4,$V5-4,0))</f>
        <v>0</v>
      </c>
      <c r="I5" s="184" t="str">
        <f ca="1">IF(ISERROR($V5),"",OFFSET('Smelter Look-up'!$H$4,$V5-4,0))</f>
        <v>Oruro</v>
      </c>
      <c r="J5" s="184" t="str">
        <f ca="1">IF(ISERROR($V5),"",OFFSET('Smelter Look-up'!$I$4,$V5-4,0))</f>
        <v>Oruro</v>
      </c>
      <c r="K5" s="224"/>
      <c r="L5" s="224"/>
      <c r="M5" s="224"/>
      <c r="N5" s="224"/>
      <c r="O5" s="224"/>
      <c r="P5" s="185"/>
      <c r="Q5" s="225"/>
      <c r="R5" s="182" t="str">
        <f ca="1">IF(ISERROR($V5),"",OFFSET('Smelter Look-up'!$C$4,$V5-4,0)&amp;"")</f>
        <v>EM Vinto</v>
      </c>
      <c r="S5" s="181" t="str">
        <f ca="1">IF(B5="","",IF(ISERROR(MATCH($E5,CL,0)),"Unknown",INDIRECT("'C'!$A$"&amp;MATCH($E5,CL,0)+1)))</f>
        <v>BO</v>
      </c>
      <c r="T5" s="181" t="str">
        <f ca="1">IF(B5="","",IF(ISERROR(MATCH($J5,SorP!$B$1:$B$6226,0)),"",INDIRECT("'SorP'!$A$"&amp;MATCH($S5&amp;$J5,SorP!C:C,0))))</f>
        <v>BO-O</v>
      </c>
      <c r="U5" s="201"/>
      <c r="V5" s="226">
        <f ca="1">IF(C5="",NA(),IF(OR(C5="Smelter not listed",C5="Smelter not yet identified"),MATCH($B5&amp;$D5,'Smelter Look-up'!$J:$J,0),MATCH($B5&amp;$C5,'Smelter Look-up'!$J:$J,0)))</f>
        <v>433</v>
      </c>
      <c r="X5" s="227">
        <f t="shared" ref="X5" ca="1" si="0">IF(AND(C5="Smelter not listed",OR(LEN(D5)=0,LEN(E5)=0)),1,0)</f>
        <v>0</v>
      </c>
      <c r="AB5" s="228" t="str">
        <f t="shared" ref="AB5" ca="1" si="1">B5&amp;C5</f>
        <v>TinEM Vinto</v>
      </c>
    </row>
    <row r="6" spans="1:34" s="227" customFormat="1" ht="20.100000000000001" customHeight="1">
      <c r="A6" s="262" t="s">
        <v>761</v>
      </c>
      <c r="B6" s="182" t="str">
        <f ca="1">IF(LEN(A6)=0,"",INDEX('Smelter Look-up'!$A:$A,MATCH($A6,'Smelter Look-up'!$E:$E,0)))</f>
        <v>Tin</v>
      </c>
      <c r="C6" s="186" t="str">
        <f ca="1">IF(LEN(A6)=0,"",INDEX('Smelter Look-up'!$C:$C,MATCH($A6,'Smelter Look-up'!$E:$E,0)))</f>
        <v>Fenix Metals</v>
      </c>
      <c r="D6" s="230"/>
      <c r="E6" s="182" t="str">
        <f ca="1">IF(ISERROR($V6),"",OFFSET('Smelter Look-up'!$D$4,$V6-4,0)&amp;"")</f>
        <v>POLAND</v>
      </c>
      <c r="F6" s="182" t="str">
        <f ca="1">IF(ISERROR($V6),"",OFFSET('Smelter Look-up'!$E$4,$V6-4,0))</f>
        <v>CID000468</v>
      </c>
      <c r="G6" s="182" t="str">
        <f ca="1">IF(C6=$X$4,IF(ISERROR($V6),"Enter smelter details","RMI"),IF(ISERROR($V6),"",OFFSET('Smelter Look-up'!$F$4,$V6-4,0)))</f>
        <v>RMI</v>
      </c>
      <c r="H6" s="183">
        <f ca="1">IF(ISERROR($V6),"",OFFSET('Smelter Look-up'!$G$4,$V6-4,0))</f>
        <v>0</v>
      </c>
      <c r="I6" s="184" t="str">
        <f ca="1">IF(ISERROR($V6),"",OFFSET('Smelter Look-up'!$H$4,$V6-4,0))</f>
        <v>Chmielów</v>
      </c>
      <c r="J6" s="184" t="str">
        <f ca="1">IF(ISERROR($V6),"",OFFSET('Smelter Look-up'!$I$4,$V6-4,0))</f>
        <v>Podkarpackie</v>
      </c>
      <c r="K6" s="224"/>
      <c r="L6" s="224"/>
      <c r="M6" s="224"/>
      <c r="N6" s="224"/>
      <c r="O6" s="224"/>
      <c r="P6" s="185"/>
      <c r="Q6" s="225"/>
      <c r="R6" s="182" t="str">
        <f ca="1">IF(ISERROR($V6),"",OFFSET('Smelter Look-up'!$C$4,$V6-4,0)&amp;"")</f>
        <v>Fenix Metals</v>
      </c>
      <c r="S6" s="181" t="str">
        <f t="shared" ref="S6:S37" ca="1" si="2">IF(B6="","",IF(ISERROR(MATCH($E6,CL,0)),"Unknown",INDIRECT("'C'!$A$"&amp;MATCH($E6,CL,0)+1)))</f>
        <v>PL</v>
      </c>
      <c r="T6" s="181" t="str">
        <f ca="1">IF(B6="","",IF(ISERROR(MATCH($J6,SorP!$B$1:$B$6226,0)),"",INDIRECT("'SorP'!$A$"&amp;MATCH($S6&amp;$J6,SorP!C:C,0))))</f>
        <v>PL-18</v>
      </c>
      <c r="U6" s="201"/>
      <c r="V6" s="226">
        <f ca="1">IF(C6="",NA(),IF(OR(C6="Smelter not listed",C6="Smelter not yet identified"),MATCH($B6&amp;$D6,'Smelter Look-up'!$J:$J,0),MATCH($B6&amp;$C6,'Smelter Look-up'!$J:$J,0)))</f>
        <v>442</v>
      </c>
      <c r="X6" s="227">
        <f t="shared" ref="X6:X37" ca="1" si="3">IF(AND(C6="Smelter not listed",OR(LEN(D6)=0,LEN(E6)=0)),1,0)</f>
        <v>0</v>
      </c>
      <c r="AB6" s="228" t="str">
        <f t="shared" ref="AB6:AB37" ca="1" si="4">B6&amp;C6</f>
        <v>TinFenix Metals</v>
      </c>
    </row>
    <row r="7" spans="1:34" s="227" customFormat="1" ht="20.100000000000001" customHeight="1">
      <c r="A7" s="262" t="s">
        <v>766</v>
      </c>
      <c r="B7" s="182" t="str">
        <f ca="1">IF(LEN(A7)=0,"",INDEX('Smelter Look-up'!$A:$A,MATCH($A7,'Smelter Look-up'!$E:$E,0)))</f>
        <v>Tin</v>
      </c>
      <c r="C7" s="186" t="str">
        <f ca="1">IF(LEN(A7)=0,"",INDEX('Smelter Look-up'!$C:$C,MATCH($A7,'Smelter Look-up'!$E:$E,0)))</f>
        <v>Malaysia Smelting Corporation (MSC)</v>
      </c>
      <c r="D7" s="230"/>
      <c r="E7" s="182" t="str">
        <f ca="1">IF(ISERROR($V7),"",OFFSET('Smelter Look-up'!$D$4,$V7-4,0)&amp;"")</f>
        <v>MALAYSIA</v>
      </c>
      <c r="F7" s="182" t="str">
        <f ca="1">IF(ISERROR($V7),"",OFFSET('Smelter Look-up'!$E$4,$V7-4,0))</f>
        <v>CID001105</v>
      </c>
      <c r="G7" s="182" t="str">
        <f ca="1">IF(C7=$X$4,IF(ISERROR($V7),"Enter smelter details","RMI"),IF(ISERROR($V7),"",OFFSET('Smelter Look-up'!$F$4,$V7-4,0)))</f>
        <v>RMI</v>
      </c>
      <c r="H7" s="183">
        <f ca="1">IF(ISERROR($V7),"",OFFSET('Smelter Look-up'!$G$4,$V7-4,0))</f>
        <v>0</v>
      </c>
      <c r="I7" s="184" t="str">
        <f ca="1">IF(ISERROR($V7),"",OFFSET('Smelter Look-up'!$H$4,$V7-4,0))</f>
        <v>Butterworth</v>
      </c>
      <c r="J7" s="184" t="str">
        <f ca="1">IF(ISERROR($V7),"",OFFSET('Smelter Look-up'!$I$4,$V7-4,0))</f>
        <v>Pulau Pinang</v>
      </c>
      <c r="K7" s="224"/>
      <c r="L7" s="224"/>
      <c r="M7" s="224"/>
      <c r="N7" s="224"/>
      <c r="O7" s="224"/>
      <c r="P7" s="185"/>
      <c r="Q7" s="225"/>
      <c r="R7" s="182" t="str">
        <f ca="1">IF(ISERROR($V7),"",OFFSET('Smelter Look-up'!$C$4,$V7-4,0)&amp;"")</f>
        <v>Malaysia Smelting Corporation (MSC)</v>
      </c>
      <c r="S7" s="181" t="str">
        <f t="shared" ca="1" si="2"/>
        <v>MY</v>
      </c>
      <c r="T7" s="181" t="str">
        <f ca="1">IF(B7="","",IF(ISERROR(MATCH($J7,SorP!$B$1:$B$6226,0)),"",INDIRECT("'SorP'!$A$"&amp;MATCH($S7&amp;$J7,SorP!C:C,0))))</f>
        <v>MY-07</v>
      </c>
      <c r="U7" s="201"/>
      <c r="V7" s="226">
        <f ca="1">IF(C7="",NA(),IF(OR(C7="Smelter not listed",C7="Smelter not yet identified"),MATCH($B7&amp;$D7,'Smelter Look-up'!$J:$J,0),MATCH($B7&amp;$C7,'Smelter Look-up'!$J:$J,0)))</f>
        <v>474</v>
      </c>
      <c r="X7" s="227">
        <f t="shared" ca="1" si="3"/>
        <v>0</v>
      </c>
      <c r="AB7" s="228" t="str">
        <f t="shared" ca="1" si="4"/>
        <v>TinMalaysia Smelting Corporation (MSC)</v>
      </c>
    </row>
    <row r="8" spans="1:34" s="227" customFormat="1" ht="20.100000000000001" customHeight="1">
      <c r="A8" s="262" t="s">
        <v>767</v>
      </c>
      <c r="B8" s="182" t="str">
        <f ca="1">IF(LEN(A8)=0,"",INDEX('Smelter Look-up'!$A:$A,MATCH($A8,'Smelter Look-up'!$E:$E,0)))</f>
        <v>Tin</v>
      </c>
      <c r="C8" s="186" t="str">
        <f ca="1">IF(LEN(A8)=0,"",INDEX('Smelter Look-up'!$C:$C,MATCH($A8,'Smelter Look-up'!$E:$E,0)))</f>
        <v>Mineracao Taboca S.A.</v>
      </c>
      <c r="D8" s="230"/>
      <c r="E8" s="182" t="str">
        <f ca="1">IF(ISERROR($V8),"",OFFSET('Smelter Look-up'!$D$4,$V8-4,0)&amp;"")</f>
        <v>BRAZIL</v>
      </c>
      <c r="F8" s="182" t="str">
        <f ca="1">IF(ISERROR($V8),"",OFFSET('Smelter Look-up'!$E$4,$V8-4,0))</f>
        <v>CID001173</v>
      </c>
      <c r="G8" s="182" t="str">
        <f ca="1">IF(C8=$X$4,IF(ISERROR($V8),"Enter smelter details","RMI"),IF(ISERROR($V8),"",OFFSET('Smelter Look-up'!$F$4,$V8-4,0)))</f>
        <v>RMI</v>
      </c>
      <c r="H8" s="183">
        <f ca="1">IF(ISERROR($V8),"",OFFSET('Smelter Look-up'!$G$4,$V8-4,0))</f>
        <v>0</v>
      </c>
      <c r="I8" s="184" t="str">
        <f ca="1">IF(ISERROR($V8),"",OFFSET('Smelter Look-up'!$H$4,$V8-4,0))</f>
        <v>Bairro Guarapiranga</v>
      </c>
      <c r="J8" s="184" t="str">
        <f ca="1">IF(ISERROR($V8),"",OFFSET('Smelter Look-up'!$I$4,$V8-4,0))</f>
        <v>São Paulo</v>
      </c>
      <c r="K8" s="224"/>
      <c r="L8" s="224"/>
      <c r="M8" s="224"/>
      <c r="N8" s="224"/>
      <c r="O8" s="224"/>
      <c r="P8" s="185"/>
      <c r="Q8" s="225"/>
      <c r="R8" s="182" t="str">
        <f ca="1">IF(ISERROR($V8),"",OFFSET('Smelter Look-up'!$C$4,$V8-4,0)&amp;"")</f>
        <v>Mineracao Taboca S.A.</v>
      </c>
      <c r="S8" s="181" t="str">
        <f t="shared" ca="1" si="2"/>
        <v>BR</v>
      </c>
      <c r="T8" s="181" t="str">
        <f ca="1">IF(B8="","",IF(ISERROR(MATCH($J8,SorP!$B$1:$B$6226,0)),"",INDIRECT("'SorP'!$A$"&amp;MATCH($S8&amp;$J8,SorP!C:C,0))))</f>
        <v>BR-SP</v>
      </c>
      <c r="U8" s="201"/>
      <c r="V8" s="226">
        <f ca="1">IF(C8="",NA(),IF(OR(C8="Smelter not listed",C8="Smelter not yet identified"),MATCH($B8&amp;$D8,'Smelter Look-up'!$J:$J,0),MATCH($B8&amp;$C8,'Smelter Look-up'!$J:$J,0)))</f>
        <v>482</v>
      </c>
      <c r="X8" s="227">
        <f t="shared" ca="1" si="3"/>
        <v>0</v>
      </c>
      <c r="AB8" s="228" t="str">
        <f t="shared" ca="1" si="4"/>
        <v>TinMineracao Taboca S.A.</v>
      </c>
    </row>
    <row r="9" spans="1:34" s="227" customFormat="1" ht="20.100000000000001" customHeight="1">
      <c r="A9" s="262" t="s">
        <v>768</v>
      </c>
      <c r="B9" s="182" t="str">
        <f ca="1">IF(LEN(A9)=0,"",INDEX('Smelter Look-up'!$A:$A,MATCH($A9,'Smelter Look-up'!$E:$E,0)))</f>
        <v>Tin</v>
      </c>
      <c r="C9" s="186" t="str">
        <f ca="1">IF(LEN(A9)=0,"",INDEX('Smelter Look-up'!$C:$C,MATCH($A9,'Smelter Look-up'!$E:$E,0)))</f>
        <v>Minsur</v>
      </c>
      <c r="D9" s="230"/>
      <c r="E9" s="182" t="str">
        <f ca="1">IF(ISERROR($V9),"",OFFSET('Smelter Look-up'!$D$4,$V9-4,0)&amp;"")</f>
        <v>PERU</v>
      </c>
      <c r="F9" s="182" t="str">
        <f ca="1">IF(ISERROR($V9),"",OFFSET('Smelter Look-up'!$E$4,$V9-4,0))</f>
        <v>CID001182</v>
      </c>
      <c r="G9" s="182" t="str">
        <f ca="1">IF(C9=$X$4,IF(ISERROR($V9),"Enter smelter details","RMI"),IF(ISERROR($V9),"",OFFSET('Smelter Look-up'!$F$4,$V9-4,0)))</f>
        <v>RMI</v>
      </c>
      <c r="H9" s="183">
        <f ca="1">IF(ISERROR($V9),"",OFFSET('Smelter Look-up'!$G$4,$V9-4,0))</f>
        <v>0</v>
      </c>
      <c r="I9" s="184" t="str">
        <f ca="1">IF(ISERROR($V9),"",OFFSET('Smelter Look-up'!$H$4,$V9-4,0))</f>
        <v>Paracas</v>
      </c>
      <c r="J9" s="184" t="str">
        <f ca="1">IF(ISERROR($V9),"",OFFSET('Smelter Look-up'!$I$4,$V9-4,0))</f>
        <v>Ika</v>
      </c>
      <c r="K9" s="224"/>
      <c r="L9" s="224"/>
      <c r="M9" s="224"/>
      <c r="N9" s="224"/>
      <c r="O9" s="224"/>
      <c r="P9" s="185"/>
      <c r="Q9" s="225"/>
      <c r="R9" s="182" t="str">
        <f ca="1">IF(ISERROR($V9),"",OFFSET('Smelter Look-up'!$C$4,$V9-4,0)&amp;"")</f>
        <v>Minsur</v>
      </c>
      <c r="S9" s="181" t="str">
        <f t="shared" ca="1" si="2"/>
        <v>PE</v>
      </c>
      <c r="T9" s="181" t="str">
        <f ca="1">IF(B9="","",IF(ISERROR(MATCH($J9,SorP!$B$1:$B$6226,0)),"",INDIRECT("'SorP'!$A$"&amp;MATCH($S9&amp;$J9,SorP!C:C,0))))</f>
        <v>PE-ICA</v>
      </c>
      <c r="U9" s="201"/>
      <c r="V9" s="226">
        <f ca="1">IF(C9="",NA(),IF(OR(C9="Smelter not listed",C9="Smelter not yet identified"),MATCH($B9&amp;$D9,'Smelter Look-up'!$J:$J,0),MATCH($B9&amp;$C9,'Smelter Look-up'!$J:$J,0)))</f>
        <v>487</v>
      </c>
      <c r="X9" s="227">
        <f t="shared" ca="1" si="3"/>
        <v>0</v>
      </c>
      <c r="AB9" s="228" t="str">
        <f t="shared" ca="1" si="4"/>
        <v>TinMinsur</v>
      </c>
    </row>
    <row r="10" spans="1:34" s="227" customFormat="1" ht="20.100000000000001" customHeight="1">
      <c r="A10" s="262" t="s">
        <v>772</v>
      </c>
      <c r="B10" s="182" t="str">
        <f ca="1">IF(LEN(A10)=0,"",INDEX('Smelter Look-up'!$A:$A,MATCH($A10,'Smelter Look-up'!$E:$E,0)))</f>
        <v>Tin</v>
      </c>
      <c r="C10" s="186" t="str">
        <f ca="1">IF(LEN(A10)=0,"",INDEX('Smelter Look-up'!$C:$C,MATCH($A10,'Smelter Look-up'!$E:$E,0)))</f>
        <v>Operaciones Metalurgicas S.A.</v>
      </c>
      <c r="D10" s="230"/>
      <c r="E10" s="182" t="str">
        <f ca="1">IF(ISERROR($V10),"",OFFSET('Smelter Look-up'!$D$4,$V10-4,0)&amp;"")</f>
        <v>BOLIVIA (PLURINATIONAL STATE OF)</v>
      </c>
      <c r="F10" s="182" t="str">
        <f ca="1">IF(ISERROR($V10),"",OFFSET('Smelter Look-up'!$E$4,$V10-4,0))</f>
        <v>CID001337</v>
      </c>
      <c r="G10" s="182" t="str">
        <f ca="1">IF(C10=$X$4,IF(ISERROR($V10),"Enter smelter details","RMI"),IF(ISERROR($V10),"",OFFSET('Smelter Look-up'!$F$4,$V10-4,0)))</f>
        <v>RMI</v>
      </c>
      <c r="H10" s="183">
        <f ca="1">IF(ISERROR($V10),"",OFFSET('Smelter Look-up'!$G$4,$V10-4,0))</f>
        <v>0</v>
      </c>
      <c r="I10" s="184" t="str">
        <f ca="1">IF(ISERROR($V10),"",OFFSET('Smelter Look-up'!$H$4,$V10-4,0))</f>
        <v>Oruro</v>
      </c>
      <c r="J10" s="184" t="str">
        <f ca="1">IF(ISERROR($V10),"",OFFSET('Smelter Look-up'!$I$4,$V10-4,0))</f>
        <v>Oruro</v>
      </c>
      <c r="K10" s="224"/>
      <c r="L10" s="224"/>
      <c r="M10" s="224"/>
      <c r="N10" s="224"/>
      <c r="O10" s="224"/>
      <c r="P10" s="185"/>
      <c r="Q10" s="225"/>
      <c r="R10" s="182" t="str">
        <f ca="1">IF(ISERROR($V10),"",OFFSET('Smelter Look-up'!$C$4,$V10-4,0)&amp;"")</f>
        <v>Operaciones Metalurgicas S.A.</v>
      </c>
      <c r="S10" s="181" t="str">
        <f t="shared" ca="1" si="2"/>
        <v>BO</v>
      </c>
      <c r="T10" s="181" t="str">
        <f ca="1">IF(B10="","",IF(ISERROR(MATCH($J10,SorP!$B$1:$B$6226,0)),"",INDIRECT("'SorP'!$A$"&amp;MATCH($S10&amp;$J10,SorP!C:C,0))))</f>
        <v>BO-O</v>
      </c>
      <c r="U10" s="201"/>
      <c r="V10" s="226">
        <f ca="1">IF(C10="",NA(),IF(OR(C10="Smelter not listed",C10="Smelter not yet identified"),MATCH($B10&amp;$D10,'Smelter Look-up'!$J:$J,0),MATCH($B10&amp;$C10,'Smelter Look-up'!$J:$J,0)))</f>
        <v>499</v>
      </c>
      <c r="X10" s="227">
        <f t="shared" ca="1" si="3"/>
        <v>0</v>
      </c>
      <c r="AB10" s="228" t="str">
        <f t="shared" ca="1" si="4"/>
        <v>TinOperaciones Metalurgicas S.A.</v>
      </c>
    </row>
    <row r="11" spans="1:34" s="227" customFormat="1" ht="20.100000000000001" customHeight="1">
      <c r="A11" s="262" t="s">
        <v>773</v>
      </c>
      <c r="B11" s="182" t="str">
        <f ca="1">IF(LEN(A11)=0,"",INDEX('Smelter Look-up'!$A:$A,MATCH($A11,'Smelter Look-up'!$E:$E,0)))</f>
        <v>Tin</v>
      </c>
      <c r="C11" s="186" t="str">
        <f ca="1">IF(LEN(A11)=0,"",INDEX('Smelter Look-up'!$C:$C,MATCH($A11,'Smelter Look-up'!$E:$E,0)))</f>
        <v>PT Artha Cipta Langgeng</v>
      </c>
      <c r="D11" s="230"/>
      <c r="E11" s="182" t="str">
        <f ca="1">IF(ISERROR($V11),"",OFFSET('Smelter Look-up'!$D$4,$V11-4,0)&amp;"")</f>
        <v>INDONESIA</v>
      </c>
      <c r="F11" s="182" t="str">
        <f ca="1">IF(ISERROR($V11),"",OFFSET('Smelter Look-up'!$E$4,$V11-4,0))</f>
        <v>CID001399</v>
      </c>
      <c r="G11" s="182" t="str">
        <f ca="1">IF(C11=$X$4,IF(ISERROR($V11),"Enter smelter details","RMI"),IF(ISERROR($V11),"",OFFSET('Smelter Look-up'!$F$4,$V11-4,0)))</f>
        <v>RMI</v>
      </c>
      <c r="H11" s="183">
        <f ca="1">IF(ISERROR($V11),"",OFFSET('Smelter Look-up'!$G$4,$V11-4,0))</f>
        <v>0</v>
      </c>
      <c r="I11" s="184" t="str">
        <f ca="1">IF(ISERROR($V11),"",OFFSET('Smelter Look-up'!$H$4,$V11-4,0))</f>
        <v>Sungailiat</v>
      </c>
      <c r="J11" s="184" t="str">
        <f ca="1">IF(ISERROR($V11),"",OFFSET('Smelter Look-up'!$I$4,$V11-4,0))</f>
        <v>Kepulauan Bangka Belitung</v>
      </c>
      <c r="K11" s="224"/>
      <c r="L11" s="224"/>
      <c r="M11" s="224"/>
      <c r="N11" s="224"/>
      <c r="O11" s="224"/>
      <c r="P11" s="185"/>
      <c r="Q11" s="225"/>
      <c r="R11" s="182" t="str">
        <f ca="1">IF(ISERROR($V11),"",OFFSET('Smelter Look-up'!$C$4,$V11-4,0)&amp;"")</f>
        <v>PT Artha Cipta Langgeng</v>
      </c>
      <c r="S11" s="181" t="str">
        <f t="shared" ca="1" si="2"/>
        <v>ID</v>
      </c>
      <c r="T11" s="181" t="str">
        <f ca="1">IF(B11="","",IF(ISERROR(MATCH($J11,SorP!$B$1:$B$6226,0)),"",INDIRECT("'SorP'!$A$"&amp;MATCH($S11&amp;$J11,SorP!C:C,0))))</f>
        <v>ID-BB</v>
      </c>
      <c r="U11" s="201"/>
      <c r="V11" s="226">
        <f ca="1">IF(C11="",NA(),IF(OR(C11="Smelter not listed",C11="Smelter not yet identified"),MATCH($B11&amp;$D11,'Smelter Look-up'!$J:$J,0),MATCH($B11&amp;$C11,'Smelter Look-up'!$J:$J,0)))</f>
        <v>504</v>
      </c>
      <c r="X11" s="227">
        <f t="shared" ca="1" si="3"/>
        <v>0</v>
      </c>
      <c r="AB11" s="228" t="str">
        <f t="shared" ca="1" si="4"/>
        <v>TinPT Artha Cipta Langgeng</v>
      </c>
    </row>
    <row r="12" spans="1:34" s="227" customFormat="1" ht="20.100000000000001" customHeight="1">
      <c r="A12" s="262" t="s">
        <v>15076</v>
      </c>
      <c r="B12" s="182" t="str">
        <f ca="1">IF(LEN(A12)=0,"",INDEX('Smelter Look-up'!$A:$A,MATCH($A12,'Smelter Look-up'!$E:$E,0)))</f>
        <v>Tin</v>
      </c>
      <c r="C12" s="186" t="str">
        <f ca="1">IF(LEN(A12)=0,"",INDEX('Smelter Look-up'!$C:$C,MATCH($A12,'Smelter Look-up'!$E:$E,0)))</f>
        <v>PT Babel Surya Alam Lestari</v>
      </c>
      <c r="D12" s="230"/>
      <c r="E12" s="182" t="str">
        <f ca="1">IF(ISERROR($V12),"",OFFSET('Smelter Look-up'!$D$4,$V12-4,0)&amp;"")</f>
        <v>INDONESIA</v>
      </c>
      <c r="F12" s="182" t="str">
        <f ca="1">IF(ISERROR($V12),"",OFFSET('Smelter Look-up'!$E$4,$V12-4,0))</f>
        <v>CID001406</v>
      </c>
      <c r="G12" s="182" t="str">
        <f ca="1">IF(C12=$X$4,IF(ISERROR($V12),"Enter smelter details","RMI"),IF(ISERROR($V12),"",OFFSET('Smelter Look-up'!$F$4,$V12-4,0)))</f>
        <v>RMI</v>
      </c>
      <c r="H12" s="183">
        <f ca="1">IF(ISERROR($V12),"",OFFSET('Smelter Look-up'!$G$4,$V12-4,0))</f>
        <v>0</v>
      </c>
      <c r="I12" s="184" t="str">
        <f ca="1">IF(ISERROR($V12),"",OFFSET('Smelter Look-up'!$H$4,$V12-4,0))</f>
        <v>Badau</v>
      </c>
      <c r="J12" s="184" t="str">
        <f ca="1">IF(ISERROR($V12),"",OFFSET('Smelter Look-up'!$I$4,$V12-4,0))</f>
        <v>Kepulauan Bangka Belitung</v>
      </c>
      <c r="K12" s="224"/>
      <c r="L12" s="224"/>
      <c r="M12" s="224"/>
      <c r="N12" s="224"/>
      <c r="O12" s="224"/>
      <c r="P12" s="185"/>
      <c r="Q12" s="225"/>
      <c r="R12" s="182" t="str">
        <f ca="1">IF(ISERROR($V12),"",OFFSET('Smelter Look-up'!$C$4,$V12-4,0)&amp;"")</f>
        <v>PT Babel Surya Alam Lestari</v>
      </c>
      <c r="S12" s="181" t="str">
        <f t="shared" ca="1" si="2"/>
        <v>ID</v>
      </c>
      <c r="T12" s="181" t="str">
        <f ca="1">IF(B12="","",IF(ISERROR(MATCH($J12,SorP!$B$1:$B$6226,0)),"",INDIRECT("'SorP'!$A$"&amp;MATCH($S12&amp;$J12,SorP!C:C,0))))</f>
        <v>ID-BB</v>
      </c>
      <c r="U12" s="201"/>
      <c r="V12" s="226">
        <f ca="1">IF(C12="",NA(),IF(OR(C12="Smelter not listed",C12="Smelter not yet identified"),MATCH($B12&amp;$D12,'Smelter Look-up'!$J:$J,0),MATCH($B12&amp;$C12,'Smelter Look-up'!$J:$J,0)))</f>
        <v>507</v>
      </c>
      <c r="X12" s="227">
        <f t="shared" ca="1" si="3"/>
        <v>0</v>
      </c>
      <c r="AB12" s="228" t="str">
        <f t="shared" ca="1" si="4"/>
        <v>TinPT Babel Surya Alam Lestari</v>
      </c>
    </row>
    <row r="13" spans="1:34" s="227" customFormat="1" ht="20.100000000000001" customHeight="1">
      <c r="A13" s="262" t="s">
        <v>774</v>
      </c>
      <c r="B13" s="182" t="str">
        <f ca="1">IF(LEN(A13)=0,"",INDEX('Smelter Look-up'!$A:$A,MATCH($A13,'Smelter Look-up'!$E:$E,0)))</f>
        <v>Tin</v>
      </c>
      <c r="C13" s="186" t="str">
        <f ca="1">IF(LEN(A13)=0,"",INDEX('Smelter Look-up'!$C:$C,MATCH($A13,'Smelter Look-up'!$E:$E,0)))</f>
        <v>PT Mitra Stania Prima</v>
      </c>
      <c r="D13" s="230"/>
      <c r="E13" s="182" t="str">
        <f ca="1">IF(ISERROR($V13),"",OFFSET('Smelter Look-up'!$D$4,$V13-4,0)&amp;"")</f>
        <v>INDONESIA</v>
      </c>
      <c r="F13" s="182" t="str">
        <f ca="1">IF(ISERROR($V13),"",OFFSET('Smelter Look-up'!$E$4,$V13-4,0))</f>
        <v>CID001453</v>
      </c>
      <c r="G13" s="182" t="str">
        <f ca="1">IF(C13=$X$4,IF(ISERROR($V13),"Enter smelter details","RMI"),IF(ISERROR($V13),"",OFFSET('Smelter Look-up'!$F$4,$V13-4,0)))</f>
        <v>RMI</v>
      </c>
      <c r="H13" s="183">
        <f ca="1">IF(ISERROR($V13),"",OFFSET('Smelter Look-up'!$G$4,$V13-4,0))</f>
        <v>0</v>
      </c>
      <c r="I13" s="184" t="str">
        <f ca="1">IF(ISERROR($V13),"",OFFSET('Smelter Look-up'!$H$4,$V13-4,0))</f>
        <v>Sungailiat</v>
      </c>
      <c r="J13" s="184" t="str">
        <f ca="1">IF(ISERROR($V13),"",OFFSET('Smelter Look-up'!$I$4,$V13-4,0))</f>
        <v>Kepulauan Bangka Belitung</v>
      </c>
      <c r="K13" s="224"/>
      <c r="L13" s="224"/>
      <c r="M13" s="224"/>
      <c r="N13" s="224"/>
      <c r="O13" s="224"/>
      <c r="P13" s="185"/>
      <c r="Q13" s="225"/>
      <c r="R13" s="182" t="str">
        <f ca="1">IF(ISERROR($V13),"",OFFSET('Smelter Look-up'!$C$4,$V13-4,0)&amp;"")</f>
        <v>PT Mitra Stania Prima</v>
      </c>
      <c r="S13" s="181" t="str">
        <f t="shared" ca="1" si="2"/>
        <v>ID</v>
      </c>
      <c r="T13" s="181" t="str">
        <f ca="1">IF(B13="","",IF(ISERROR(MATCH($J13,SorP!$B$1:$B$6226,0)),"",INDIRECT("'SorP'!$A$"&amp;MATCH($S13&amp;$J13,SorP!C:C,0))))</f>
        <v>ID-BB</v>
      </c>
      <c r="U13" s="201"/>
      <c r="V13" s="226">
        <f ca="1">IF(C13="",NA(),IF(OR(C13="Smelter not listed",C13="Smelter not yet identified"),MATCH($B13&amp;$D13,'Smelter Look-up'!$J:$J,0),MATCH($B13&amp;$C13,'Smelter Look-up'!$J:$J,0)))</f>
        <v>518</v>
      </c>
      <c r="X13" s="227">
        <f t="shared" ca="1" si="3"/>
        <v>0</v>
      </c>
      <c r="AB13" s="228" t="str">
        <f t="shared" ca="1" si="4"/>
        <v>TinPT Mitra Stania Prima</v>
      </c>
    </row>
    <row r="14" spans="1:34" s="227" customFormat="1" ht="20.100000000000001" customHeight="1">
      <c r="A14" s="262" t="s">
        <v>775</v>
      </c>
      <c r="B14" s="182" t="str">
        <f ca="1">IF(LEN(A14)=0,"",INDEX('Smelter Look-up'!$A:$A,MATCH($A14,'Smelter Look-up'!$E:$E,0)))</f>
        <v>Tin</v>
      </c>
      <c r="C14" s="186" t="str">
        <f ca="1">IF(LEN(A14)=0,"",INDEX('Smelter Look-up'!$C:$C,MATCH($A14,'Smelter Look-up'!$E:$E,0)))</f>
        <v>PT Refined Bangka Tin</v>
      </c>
      <c r="D14" s="230"/>
      <c r="E14" s="182" t="str">
        <f ca="1">IF(ISERROR($V14),"",OFFSET('Smelter Look-up'!$D$4,$V14-4,0)&amp;"")</f>
        <v>INDONESIA</v>
      </c>
      <c r="F14" s="182" t="str">
        <f ca="1">IF(ISERROR($V14),"",OFFSET('Smelter Look-up'!$E$4,$V14-4,0))</f>
        <v>CID001460</v>
      </c>
      <c r="G14" s="182" t="str">
        <f ca="1">IF(C14=$X$4,IF(ISERROR($V14),"Enter smelter details","RMI"),IF(ISERROR($V14),"",OFFSET('Smelter Look-up'!$F$4,$V14-4,0)))</f>
        <v>RMI</v>
      </c>
      <c r="H14" s="183">
        <f ca="1">IF(ISERROR($V14),"",OFFSET('Smelter Look-up'!$G$4,$V14-4,0))</f>
        <v>0</v>
      </c>
      <c r="I14" s="184" t="str">
        <f ca="1">IF(ISERROR($V14),"",OFFSET('Smelter Look-up'!$H$4,$V14-4,0))</f>
        <v>Sungailiat</v>
      </c>
      <c r="J14" s="184" t="str">
        <f ca="1">IF(ISERROR($V14),"",OFFSET('Smelter Look-up'!$I$4,$V14-4,0))</f>
        <v>Kepulauan Bangka Belitung</v>
      </c>
      <c r="K14" s="224"/>
      <c r="L14" s="224"/>
      <c r="M14" s="224"/>
      <c r="N14" s="224"/>
      <c r="O14" s="224"/>
      <c r="P14" s="185"/>
      <c r="Q14" s="225"/>
      <c r="R14" s="182" t="str">
        <f ca="1">IF(ISERROR($V14),"",OFFSET('Smelter Look-up'!$C$4,$V14-4,0)&amp;"")</f>
        <v>PT Refined Bangka Tin</v>
      </c>
      <c r="S14" s="181" t="str">
        <f t="shared" ca="1" si="2"/>
        <v>ID</v>
      </c>
      <c r="T14" s="181" t="str">
        <f ca="1">IF(B14="","",IF(ISERROR(MATCH($J14,SorP!$B$1:$B$6226,0)),"",INDIRECT("'SorP'!$A$"&amp;MATCH($S14&amp;$J14,SorP!C:C,0))))</f>
        <v>ID-BB</v>
      </c>
      <c r="U14" s="201"/>
      <c r="V14" s="226">
        <f ca="1">IF(C14="",NA(),IF(OR(C14="Smelter not listed",C14="Smelter not yet identified"),MATCH($B14&amp;$D14,'Smelter Look-up'!$J:$J,0),MATCH($B14&amp;$C14,'Smelter Look-up'!$J:$J,0)))</f>
        <v>526</v>
      </c>
      <c r="X14" s="227">
        <f t="shared" ca="1" si="3"/>
        <v>0</v>
      </c>
      <c r="AB14" s="228" t="str">
        <f t="shared" ca="1" si="4"/>
        <v>TinPT Refined Bangka Tin</v>
      </c>
    </row>
    <row r="15" spans="1:34" s="227" customFormat="1" ht="20.100000000000001" customHeight="1">
      <c r="A15" s="262" t="s">
        <v>15457</v>
      </c>
      <c r="B15" s="182" t="str">
        <f ca="1">IF(LEN(A15)=0,"",INDEX('Smelter Look-up'!$A:$A,MATCH($A15,'Smelter Look-up'!$E:$E,0)))</f>
        <v>Tin</v>
      </c>
      <c r="C15" s="186" t="str">
        <f ca="1">IF(LEN(A15)=0,"",INDEX('Smelter Look-up'!$C:$C,MATCH($A15,'Smelter Look-up'!$E:$E,0)))</f>
        <v>PT Sariwiguna Binasentosa</v>
      </c>
      <c r="D15" s="230"/>
      <c r="E15" s="182" t="str">
        <f ca="1">IF(ISERROR($V15),"",OFFSET('Smelter Look-up'!$D$4,$V15-4,0)&amp;"")</f>
        <v>INDONESIA</v>
      </c>
      <c r="F15" s="182" t="str">
        <f ca="1">IF(ISERROR($V15),"",OFFSET('Smelter Look-up'!$E$4,$V15-4,0))</f>
        <v>CID001463</v>
      </c>
      <c r="G15" s="182" t="str">
        <f ca="1">IF(C15=$X$4,IF(ISERROR($V15),"Enter smelter details","RMI"),IF(ISERROR($V15),"",OFFSET('Smelter Look-up'!$F$4,$V15-4,0)))</f>
        <v>RMI</v>
      </c>
      <c r="H15" s="183">
        <f ca="1">IF(ISERROR($V15),"",OFFSET('Smelter Look-up'!$G$4,$V15-4,0))</f>
        <v>0</v>
      </c>
      <c r="I15" s="184" t="str">
        <f ca="1">IF(ISERROR($V15),"",OFFSET('Smelter Look-up'!$H$4,$V15-4,0))</f>
        <v>Pangkal Pinang</v>
      </c>
      <c r="J15" s="184" t="str">
        <f ca="1">IF(ISERROR($V15),"",OFFSET('Smelter Look-up'!$I$4,$V15-4,0))</f>
        <v>Kepulauan Bangka Belitung</v>
      </c>
      <c r="K15" s="224"/>
      <c r="L15" s="224"/>
      <c r="M15" s="224"/>
      <c r="N15" s="224"/>
      <c r="O15" s="224"/>
      <c r="P15" s="185"/>
      <c r="Q15" s="225"/>
      <c r="R15" s="182" t="str">
        <f ca="1">IF(ISERROR($V15),"",OFFSET('Smelter Look-up'!$C$4,$V15-4,0)&amp;"")</f>
        <v>PT Sariwiguna Binasentosa</v>
      </c>
      <c r="S15" s="181" t="str">
        <f t="shared" ca="1" si="2"/>
        <v>ID</v>
      </c>
      <c r="T15" s="181" t="str">
        <f ca="1">IF(B15="","",IF(ISERROR(MATCH($J15,SorP!$B$1:$B$6226,0)),"",INDIRECT("'SorP'!$A$"&amp;MATCH($S15&amp;$J15,SorP!C:C,0))))</f>
        <v>ID-BB</v>
      </c>
      <c r="U15" s="201"/>
      <c r="V15" s="226">
        <f ca="1">IF(C15="",NA(),IF(OR(C15="Smelter not listed",C15="Smelter not yet identified"),MATCH($B15&amp;$D15,'Smelter Look-up'!$J:$J,0),MATCH($B15&amp;$C15,'Smelter Look-up'!$J:$J,0)))</f>
        <v>527</v>
      </c>
      <c r="X15" s="227">
        <f t="shared" ca="1" si="3"/>
        <v>0</v>
      </c>
      <c r="AB15" s="228" t="str">
        <f t="shared" ca="1" si="4"/>
        <v>TinPT Sariwiguna Binasentosa</v>
      </c>
    </row>
    <row r="16" spans="1:34" s="227" customFormat="1" ht="20.100000000000001" customHeight="1">
      <c r="A16" s="262" t="s">
        <v>794</v>
      </c>
      <c r="B16" s="182" t="str">
        <f ca="1">IF(LEN(A16)=0,"",INDEX('Smelter Look-up'!$A:$A,MATCH($A16,'Smelter Look-up'!$E:$E,0)))</f>
        <v>Tin</v>
      </c>
      <c r="C16" s="186" t="str">
        <f ca="1">IF(LEN(A16)=0,"",INDEX('Smelter Look-up'!$C:$C,MATCH($A16,'Smelter Look-up'!$E:$E,0)))</f>
        <v>PT Timah Tbk Kundur</v>
      </c>
      <c r="D16" s="230"/>
      <c r="E16" s="182" t="str">
        <f ca="1">IF(ISERROR($V16),"",OFFSET('Smelter Look-up'!$D$4,$V16-4,0)&amp;"")</f>
        <v>INDONESIA</v>
      </c>
      <c r="F16" s="182" t="str">
        <f ca="1">IF(ISERROR($V16),"",OFFSET('Smelter Look-up'!$E$4,$V16-4,0))</f>
        <v>CID001477</v>
      </c>
      <c r="G16" s="182" t="str">
        <f ca="1">IF(C16=$X$4,IF(ISERROR($V16),"Enter smelter details","RMI"),IF(ISERROR($V16),"",OFFSET('Smelter Look-up'!$F$4,$V16-4,0)))</f>
        <v>RMI</v>
      </c>
      <c r="H16" s="183">
        <f ca="1">IF(ISERROR($V16),"",OFFSET('Smelter Look-up'!$G$4,$V16-4,0))</f>
        <v>0</v>
      </c>
      <c r="I16" s="184" t="str">
        <f ca="1">IF(ISERROR($V16),"",OFFSET('Smelter Look-up'!$H$4,$V16-4,0))</f>
        <v>Kundur</v>
      </c>
      <c r="J16" s="184" t="str">
        <f ca="1">IF(ISERROR($V16),"",OFFSET('Smelter Look-up'!$I$4,$V16-4,0))</f>
        <v>Riau</v>
      </c>
      <c r="K16" s="224"/>
      <c r="L16" s="224"/>
      <c r="M16" s="224"/>
      <c r="N16" s="224"/>
      <c r="O16" s="224"/>
      <c r="P16" s="185"/>
      <c r="Q16" s="225"/>
      <c r="R16" s="182" t="str">
        <f ca="1">IF(ISERROR($V16),"",OFFSET('Smelter Look-up'!$C$4,$V16-4,0)&amp;"")</f>
        <v>PT Timah Tbk Kundur</v>
      </c>
      <c r="S16" s="181" t="str">
        <f t="shared" ca="1" si="2"/>
        <v>ID</v>
      </c>
      <c r="T16" s="181" t="str">
        <f ca="1">IF(B16="","",IF(ISERROR(MATCH($J16,SorP!$B$1:$B$6226,0)),"",INDIRECT("'SorP'!$A$"&amp;MATCH($S16&amp;$J16,SorP!C:C,0))))</f>
        <v>ID-RI</v>
      </c>
      <c r="U16" s="201"/>
      <c r="V16" s="226">
        <f ca="1">IF(C16="",NA(),IF(OR(C16="Smelter not listed",C16="Smelter not yet identified"),MATCH($B16&amp;$D16,'Smelter Look-up'!$J:$J,0),MATCH($B16&amp;$C16,'Smelter Look-up'!$J:$J,0)))</f>
        <v>532</v>
      </c>
      <c r="X16" s="227">
        <f t="shared" ca="1" si="3"/>
        <v>0</v>
      </c>
      <c r="AB16" s="228" t="str">
        <f t="shared" ca="1" si="4"/>
        <v>TinPT Timah Tbk Kundur</v>
      </c>
    </row>
    <row r="17" spans="1:28" s="227" customFormat="1" ht="20.100000000000001" customHeight="1">
      <c r="A17" s="262" t="s">
        <v>776</v>
      </c>
      <c r="B17" s="182" t="str">
        <f ca="1">IF(LEN(A17)=0,"",INDEX('Smelter Look-up'!$A:$A,MATCH($A17,'Smelter Look-up'!$E:$E,0)))</f>
        <v>Tin</v>
      </c>
      <c r="C17" s="186" t="str">
        <f ca="1">IF(LEN(A17)=0,"",INDEX('Smelter Look-up'!$C:$C,MATCH($A17,'Smelter Look-up'!$E:$E,0)))</f>
        <v>PT Timah Tbk Mentok</v>
      </c>
      <c r="D17" s="230"/>
      <c r="E17" s="182" t="str">
        <f ca="1">IF(ISERROR($V17),"",OFFSET('Smelter Look-up'!$D$4,$V17-4,0)&amp;"")</f>
        <v>INDONESIA</v>
      </c>
      <c r="F17" s="182" t="str">
        <f ca="1">IF(ISERROR($V17),"",OFFSET('Smelter Look-up'!$E$4,$V17-4,0))</f>
        <v>CID001482</v>
      </c>
      <c r="G17" s="182" t="str">
        <f ca="1">IF(C17=$X$4,IF(ISERROR($V17),"Enter smelter details","RMI"),IF(ISERROR($V17),"",OFFSET('Smelter Look-up'!$F$4,$V17-4,0)))</f>
        <v>RMI</v>
      </c>
      <c r="H17" s="183">
        <f ca="1">IF(ISERROR($V17),"",OFFSET('Smelter Look-up'!$G$4,$V17-4,0))</f>
        <v>0</v>
      </c>
      <c r="I17" s="184" t="str">
        <f ca="1">IF(ISERROR($V17),"",OFFSET('Smelter Look-up'!$H$4,$V17-4,0))</f>
        <v>Mentok</v>
      </c>
      <c r="J17" s="184" t="str">
        <f ca="1">IF(ISERROR($V17),"",OFFSET('Smelter Look-up'!$I$4,$V17-4,0))</f>
        <v>Kepulauan Bangka Belitung</v>
      </c>
      <c r="K17" s="224"/>
      <c r="L17" s="224"/>
      <c r="M17" s="224"/>
      <c r="N17" s="224"/>
      <c r="O17" s="224"/>
      <c r="P17" s="185"/>
      <c r="Q17" s="225"/>
      <c r="R17" s="182" t="str">
        <f ca="1">IF(ISERROR($V17),"",OFFSET('Smelter Look-up'!$C$4,$V17-4,0)&amp;"")</f>
        <v>PT Timah Tbk Mentok</v>
      </c>
      <c r="S17" s="181" t="str">
        <f t="shared" ca="1" si="2"/>
        <v>ID</v>
      </c>
      <c r="T17" s="181" t="str">
        <f ca="1">IF(B17="","",IF(ISERROR(MATCH($J17,SorP!$B$1:$B$6226,0)),"",INDIRECT("'SorP'!$A$"&amp;MATCH($S17&amp;$J17,SorP!C:C,0))))</f>
        <v>ID-BB</v>
      </c>
      <c r="U17" s="201"/>
      <c r="V17" s="226">
        <f ca="1">IF(C17="",NA(),IF(OR(C17="Smelter not listed",C17="Smelter not yet identified"),MATCH($B17&amp;$D17,'Smelter Look-up'!$J:$J,0),MATCH($B17&amp;$C17,'Smelter Look-up'!$J:$J,0)))</f>
        <v>533</v>
      </c>
      <c r="X17" s="227">
        <f t="shared" ca="1" si="3"/>
        <v>0</v>
      </c>
      <c r="AB17" s="228" t="str">
        <f t="shared" ca="1" si="4"/>
        <v>TinPT Timah Tbk Mentok</v>
      </c>
    </row>
    <row r="18" spans="1:28" s="227" customFormat="1" ht="20.100000000000001" customHeight="1">
      <c r="A18" s="181" t="s">
        <v>15088</v>
      </c>
      <c r="B18" s="182" t="str">
        <f ca="1">IF(LEN(A18)=0,"",INDEX('Smelter Look-up'!$A:$A,MATCH($A18,'Smelter Look-up'!$E:$E,0)))</f>
        <v>Tin</v>
      </c>
      <c r="C18" s="186" t="str">
        <f ca="1">IF(LEN(A18)=0,"",INDEX('Smelter Look-up'!$C:$C,MATCH($A18,'Smelter Look-up'!$E:$E,0)))</f>
        <v>PT Tinindo Inter Nusa</v>
      </c>
      <c r="D18" s="230"/>
      <c r="E18" s="182" t="str">
        <f ca="1">IF(ISERROR($V18),"",OFFSET('Smelter Look-up'!$D$4,$V18-4,0)&amp;"")</f>
        <v>INDONESIA</v>
      </c>
      <c r="F18" s="182" t="str">
        <f ca="1">IF(ISERROR($V18),"",OFFSET('Smelter Look-up'!$E$4,$V18-4,0))</f>
        <v>CID001490</v>
      </c>
      <c r="G18" s="182" t="str">
        <f ca="1">IF(C18=$X$4,IF(ISERROR($V18),"Enter smelter details","RMI"),IF(ISERROR($V18),"",OFFSET('Smelter Look-up'!$F$4,$V18-4,0)))</f>
        <v>RMI</v>
      </c>
      <c r="H18" s="183">
        <f ca="1">IF(ISERROR($V18),"",OFFSET('Smelter Look-up'!$G$4,$V18-4,0))</f>
        <v>0</v>
      </c>
      <c r="I18" s="184" t="str">
        <f ca="1">IF(ISERROR($V18),"",OFFSET('Smelter Look-up'!$H$4,$V18-4,0))</f>
        <v>Pangkal Pinang</v>
      </c>
      <c r="J18" s="184" t="str">
        <f ca="1">IF(ISERROR($V18),"",OFFSET('Smelter Look-up'!$I$4,$V18-4,0))</f>
        <v>Kepulauan Bangka Belitung</v>
      </c>
      <c r="K18" s="224"/>
      <c r="L18" s="224"/>
      <c r="M18" s="224"/>
      <c r="N18" s="224"/>
      <c r="O18" s="224"/>
      <c r="P18" s="185"/>
      <c r="Q18" s="225"/>
      <c r="R18" s="182" t="str">
        <f ca="1">IF(ISERROR($V18),"",OFFSET('Smelter Look-up'!$C$4,$V18-4,0)&amp;"")</f>
        <v>PT Tinindo Inter Nusa</v>
      </c>
      <c r="S18" s="181" t="str">
        <f t="shared" ca="1" si="2"/>
        <v>ID</v>
      </c>
      <c r="T18" s="181" t="str">
        <f ca="1">IF(B18="","",IF(ISERROR(MATCH($J18,SorP!$B$1:$B$6226,0)),"",INDIRECT("'SorP'!$A$"&amp;MATCH($S18&amp;$J18,SorP!C:C,0))))</f>
        <v>ID-BB</v>
      </c>
      <c r="U18" s="201"/>
      <c r="V18" s="226">
        <f ca="1">IF(C18="",NA(),IF(OR(C18="Smelter not listed",C18="Smelter not yet identified"),MATCH($B18&amp;$D18,'Smelter Look-up'!$J:$J,0),MATCH($B18&amp;$C18,'Smelter Look-up'!$J:$J,0)))</f>
        <v>534</v>
      </c>
      <c r="X18" s="227">
        <f t="shared" ca="1" si="3"/>
        <v>0</v>
      </c>
      <c r="AB18" s="228" t="str">
        <f t="shared" ca="1" si="4"/>
        <v>TinPT Tinindo Inter Nusa</v>
      </c>
    </row>
    <row r="19" spans="1:28" s="227" customFormat="1" ht="25.5">
      <c r="A19" s="181" t="s">
        <v>779</v>
      </c>
      <c r="B19" s="182" t="str">
        <f ca="1">IF(LEN(A19)=0,"",INDEX('Smelter Look-up'!$A:$A,MATCH($A19,'Smelter Look-up'!$E:$E,0)))</f>
        <v>Tin</v>
      </c>
      <c r="C19" s="186" t="str">
        <f ca="1">IF(LEN(A19)=0,"",INDEX('Smelter Look-up'!$C:$C,MATCH($A19,'Smelter Look-up'!$E:$E,0)))</f>
        <v>Thaisarco</v>
      </c>
      <c r="D19" s="230"/>
      <c r="E19" s="182" t="str">
        <f ca="1">IF(ISERROR($V19),"",OFFSET('Smelter Look-up'!$D$4,$V19-4,0)&amp;"")</f>
        <v>THAILAND</v>
      </c>
      <c r="F19" s="182" t="str">
        <f ca="1">IF(ISERROR($V19),"",OFFSET('Smelter Look-up'!$E$4,$V19-4,0))</f>
        <v>CID001898</v>
      </c>
      <c r="G19" s="182" t="str">
        <f ca="1">IF(C19=$X$4,IF(ISERROR($V19),"Enter smelter details","RMI"),IF(ISERROR($V19),"",OFFSET('Smelter Look-up'!$F$4,$V19-4,0)))</f>
        <v>RMI</v>
      </c>
      <c r="H19" s="183">
        <f ca="1">IF(ISERROR($V19),"",OFFSET('Smelter Look-up'!$G$4,$V19-4,0))</f>
        <v>0</v>
      </c>
      <c r="I19" s="184" t="str">
        <f ca="1">IF(ISERROR($V19),"",OFFSET('Smelter Look-up'!$H$4,$V19-4,0))</f>
        <v>Amphur Muang</v>
      </c>
      <c r="J19" s="184" t="str">
        <f ca="1">IF(ISERROR($V19),"",OFFSET('Smelter Look-up'!$I$4,$V19-4,0))</f>
        <v>Phuket</v>
      </c>
      <c r="K19" s="224"/>
      <c r="L19" s="224"/>
      <c r="M19" s="224"/>
      <c r="N19" s="224"/>
      <c r="O19" s="224"/>
      <c r="P19" s="185"/>
      <c r="Q19" s="225"/>
      <c r="R19" s="182" t="str">
        <f ca="1">IF(ISERROR($V19),"",OFFSET('Smelter Look-up'!$C$4,$V19-4,0)&amp;"")</f>
        <v>Thaisarco</v>
      </c>
      <c r="S19" s="181" t="str">
        <f t="shared" ca="1" si="2"/>
        <v>TH</v>
      </c>
      <c r="T19" s="181" t="str">
        <f ca="1">IF(B19="","",IF(ISERROR(MATCH($J19,SorP!$B$1:$B$6226,0)),"",INDIRECT("'SorP'!$A$"&amp;MATCH($S19&amp;$J19,SorP!C:C,0))))</f>
        <v>TH-83</v>
      </c>
      <c r="U19" s="201"/>
      <c r="V19" s="226">
        <f ca="1">IF(C19="",NA(),IF(OR(C19="Smelter not listed",C19="Smelter not yet identified"),MATCH($B19&amp;$D19,'Smelter Look-up'!$J:$J,0),MATCH($B19&amp;$C19,'Smelter Look-up'!$J:$J,0)))</f>
        <v>547</v>
      </c>
      <c r="X19" s="227">
        <f t="shared" ca="1" si="3"/>
        <v>0</v>
      </c>
      <c r="AB19" s="228" t="str">
        <f t="shared" ca="1" si="4"/>
        <v>TinThaisarco</v>
      </c>
    </row>
    <row r="20" spans="1:28" s="227" customFormat="1" ht="89.25">
      <c r="A20" s="181" t="s">
        <v>780</v>
      </c>
      <c r="B20" s="182" t="str">
        <f ca="1">IF(LEN(A20)=0,"",INDEX('Smelter Look-up'!$A:$A,MATCH($A20,'Smelter Look-up'!$E:$E,0)))</f>
        <v>Tin</v>
      </c>
      <c r="C20" s="186" t="str">
        <f ca="1">IF(LEN(A20)=0,"",INDEX('Smelter Look-up'!$C:$C,MATCH($A20,'Smelter Look-up'!$E:$E,0)))</f>
        <v>White Solder Metalurgia e Mineracao Ltda.</v>
      </c>
      <c r="D20" s="230"/>
      <c r="E20" s="182" t="str">
        <f ca="1">IF(ISERROR($V20),"",OFFSET('Smelter Look-up'!$D$4,$V20-4,0)&amp;"")</f>
        <v>BRAZIL</v>
      </c>
      <c r="F20" s="182" t="str">
        <f ca="1">IF(ISERROR($V20),"",OFFSET('Smelter Look-up'!$E$4,$V20-4,0))</f>
        <v>CID002036</v>
      </c>
      <c r="G20" s="182" t="str">
        <f ca="1">IF(C20=$X$4,IF(ISERROR($V20),"Enter smelter details","RMI"),IF(ISERROR($V20),"",OFFSET('Smelter Look-up'!$F$4,$V20-4,0)))</f>
        <v>RMI</v>
      </c>
      <c r="H20" s="183">
        <f ca="1">IF(ISERROR($V20),"",OFFSET('Smelter Look-up'!$G$4,$V20-4,0))</f>
        <v>0</v>
      </c>
      <c r="I20" s="184" t="str">
        <f ca="1">IF(ISERROR($V20),"",OFFSET('Smelter Look-up'!$H$4,$V20-4,0))</f>
        <v>Ariquemes</v>
      </c>
      <c r="J20" s="184" t="str">
        <f ca="1">IF(ISERROR($V20),"",OFFSET('Smelter Look-up'!$I$4,$V20-4,0))</f>
        <v>Rondônia</v>
      </c>
      <c r="K20" s="224"/>
      <c r="L20" s="224"/>
      <c r="M20" s="224"/>
      <c r="N20" s="224"/>
      <c r="O20" s="224"/>
      <c r="P20" s="185"/>
      <c r="Q20" s="225"/>
      <c r="R20" s="182" t="str">
        <f ca="1">IF(ISERROR($V20),"",OFFSET('Smelter Look-up'!$C$4,$V20-4,0)&amp;"")</f>
        <v>White Solder Metalurgia e Mineracao Ltda.</v>
      </c>
      <c r="S20" s="181" t="str">
        <f t="shared" ca="1" si="2"/>
        <v>BR</v>
      </c>
      <c r="T20" s="181" t="str">
        <f ca="1">IF(B20="","",IF(ISERROR(MATCH($J20,SorP!$B$1:$B$6226,0)),"",INDIRECT("'SorP'!$A$"&amp;MATCH($S20&amp;$J20,SorP!C:C,0))))</f>
        <v>BR-RO</v>
      </c>
      <c r="U20" s="201"/>
      <c r="V20" s="226">
        <f ca="1">IF(C20="",NA(),IF(OR(C20="Smelter not listed",C20="Smelter not yet identified"),MATCH($B20&amp;$D20,'Smelter Look-up'!$J:$J,0),MATCH($B20&amp;$C20,'Smelter Look-up'!$J:$J,0)))</f>
        <v>556</v>
      </c>
      <c r="X20" s="227">
        <f t="shared" ca="1" si="3"/>
        <v>0</v>
      </c>
      <c r="AB20" s="228" t="str">
        <f t="shared" ca="1" si="4"/>
        <v>TinWhite Solder Metalurgia e Mineracao Ltda.</v>
      </c>
    </row>
    <row r="21" spans="1:28" s="227" customFormat="1" ht="102">
      <c r="A21" s="181" t="s">
        <v>782</v>
      </c>
      <c r="B21" s="182" t="str">
        <f ca="1">IF(LEN(A21)=0,"",INDEX('Smelter Look-up'!$A:$A,MATCH($A21,'Smelter Look-up'!$E:$E,0)))</f>
        <v>Tin</v>
      </c>
      <c r="C21" s="186" t="str">
        <f ca="1">IF(LEN(A21)=0,"",INDEX('Smelter Look-up'!$C:$C,MATCH($A21,'Smelter Look-up'!$E:$E,0)))</f>
        <v>Tin Smelting Branch of Yunnan Tin Co., Ltd.</v>
      </c>
      <c r="D21" s="230"/>
      <c r="E21" s="182" t="str">
        <f ca="1">IF(ISERROR($V21),"",OFFSET('Smelter Look-up'!$D$4,$V21-4,0)&amp;"")</f>
        <v>CHINA</v>
      </c>
      <c r="F21" s="182" t="str">
        <f ca="1">IF(ISERROR($V21),"",OFFSET('Smelter Look-up'!$E$4,$V21-4,0))</f>
        <v>CID002180</v>
      </c>
      <c r="G21" s="182" t="str">
        <f ca="1">IF(C21=$X$4,IF(ISERROR($V21),"Enter smelter details","RMI"),IF(ISERROR($V21),"",OFFSET('Smelter Look-up'!$F$4,$V21-4,0)))</f>
        <v>RMI</v>
      </c>
      <c r="H21" s="183">
        <f ca="1">IF(ISERROR($V21),"",OFFSET('Smelter Look-up'!$G$4,$V21-4,0))</f>
        <v>0</v>
      </c>
      <c r="I21" s="184" t="str">
        <f ca="1">IF(ISERROR($V21),"",OFFSET('Smelter Look-up'!$H$4,$V21-4,0))</f>
        <v>Gejiu</v>
      </c>
      <c r="J21" s="184" t="str">
        <f ca="1">IF(ISERROR($V21),"",OFFSET('Smelter Look-up'!$I$4,$V21-4,0))</f>
        <v>Yunnan Sheng</v>
      </c>
      <c r="K21" s="224"/>
      <c r="L21" s="224"/>
      <c r="M21" s="224"/>
      <c r="N21" s="224"/>
      <c r="O21" s="224"/>
      <c r="P21" s="185"/>
      <c r="Q21" s="225"/>
      <c r="R21" s="182" t="str">
        <f ca="1">IF(ISERROR($V21),"",OFFSET('Smelter Look-up'!$C$4,$V21-4,0)&amp;"")</f>
        <v>Tin Smelting Branch of Yunnan Tin Co., Ltd.</v>
      </c>
      <c r="S21" s="181" t="str">
        <f t="shared" ca="1" si="2"/>
        <v>CN</v>
      </c>
      <c r="T21" s="181" t="str">
        <f ca="1">IF(B21="","",IF(ISERROR(MATCH($J21,SorP!$B$1:$B$6226,0)),"",INDIRECT("'SorP'!$A$"&amp;MATCH($S21&amp;$J21,SorP!C:C,0))))</f>
        <v>CN-YN</v>
      </c>
      <c r="U21" s="201"/>
      <c r="V21" s="226">
        <f ca="1">IF(C21="",NA(),IF(OR(C21="Smelter not listed",C21="Smelter not yet identified"),MATCH($B21&amp;$D21,'Smelter Look-up'!$J:$J,0),MATCH($B21&amp;$C21,'Smelter Look-up'!$J:$J,0)))</f>
        <v>550</v>
      </c>
      <c r="X21" s="227">
        <f t="shared" ca="1" si="3"/>
        <v>0</v>
      </c>
      <c r="AB21" s="228" t="str">
        <f t="shared" ca="1" si="4"/>
        <v>TinTin Smelting Branch of Yunnan Tin Co., Ltd.</v>
      </c>
    </row>
    <row r="22" spans="1:28" s="227" customFormat="1" ht="51">
      <c r="A22" s="181" t="s">
        <v>15065</v>
      </c>
      <c r="B22" s="182" t="str">
        <f ca="1">IF(LEN(A22)=0,"",INDEX('Smelter Look-up'!$A:$A,MATCH($A22,'Smelter Look-up'!$E:$E,0)))</f>
        <v>Tin</v>
      </c>
      <c r="C22" s="186" t="str">
        <f ca="1">IF(LEN(A22)=0,"",INDEX('Smelter Look-up'!$C:$C,MATCH($A22,'Smelter Look-up'!$E:$E,0)))</f>
        <v>CV Venus Inti Perkasa</v>
      </c>
      <c r="D22" s="230"/>
      <c r="E22" s="182" t="str">
        <f ca="1">IF(ISERROR($V22),"",OFFSET('Smelter Look-up'!$D$4,$V22-4,0)&amp;"")</f>
        <v>INDONESIA</v>
      </c>
      <c r="F22" s="182" t="str">
        <f ca="1">IF(ISERROR($V22),"",OFFSET('Smelter Look-up'!$E$4,$V22-4,0))</f>
        <v>CID002455</v>
      </c>
      <c r="G22" s="182" t="str">
        <f ca="1">IF(C22=$X$4,IF(ISERROR($V22),"Enter smelter details","RMI"),IF(ISERROR($V22),"",OFFSET('Smelter Look-up'!$F$4,$V22-4,0)))</f>
        <v>RMI</v>
      </c>
      <c r="H22" s="183">
        <f ca="1">IF(ISERROR($V22),"",OFFSET('Smelter Look-up'!$G$4,$V22-4,0))</f>
        <v>0</v>
      </c>
      <c r="I22" s="184" t="str">
        <f ca="1">IF(ISERROR($V22),"",OFFSET('Smelter Look-up'!$H$4,$V22-4,0))</f>
        <v>Pangkal Pinang</v>
      </c>
      <c r="J22" s="184" t="str">
        <f ca="1">IF(ISERROR($V22),"",OFFSET('Smelter Look-up'!$I$4,$V22-4,0))</f>
        <v>Kepulauan Bangka Belitung</v>
      </c>
      <c r="K22" s="224"/>
      <c r="L22" s="224"/>
      <c r="M22" s="224"/>
      <c r="N22" s="224"/>
      <c r="O22" s="224"/>
      <c r="P22" s="185"/>
      <c r="Q22" s="225"/>
      <c r="R22" s="182" t="str">
        <f ca="1">IF(ISERROR($V22),"",OFFSET('Smelter Look-up'!$C$4,$V22-4,0)&amp;"")</f>
        <v>CV Venus Inti Perkasa</v>
      </c>
      <c r="S22" s="181" t="str">
        <f t="shared" ca="1" si="2"/>
        <v>ID</v>
      </c>
      <c r="T22" s="181" t="str">
        <f ca="1">IF(B22="","",IF(ISERROR(MATCH($J22,SorP!$B$1:$B$6226,0)),"",INDIRECT("'SorP'!$A$"&amp;MATCH($S22&amp;$J22,SorP!C:C,0))))</f>
        <v>ID-BB</v>
      </c>
      <c r="U22" s="201"/>
      <c r="V22" s="226">
        <f ca="1">IF(C22="",NA(),IF(OR(C22="Smelter not listed",C22="Smelter not yet identified"),MATCH($B22&amp;$D22,'Smelter Look-up'!$J:$J,0),MATCH($B22&amp;$C22,'Smelter Look-up'!$J:$J,0)))</f>
        <v>427</v>
      </c>
      <c r="X22" s="227">
        <f t="shared" ca="1" si="3"/>
        <v>0</v>
      </c>
      <c r="AB22" s="228" t="str">
        <f t="shared" ca="1" si="4"/>
        <v>TinCV Venus Inti Perkasa</v>
      </c>
    </row>
    <row r="23" spans="1:28" s="227" customFormat="1" ht="63.75">
      <c r="A23" s="181" t="s">
        <v>1392</v>
      </c>
      <c r="B23" s="182" t="str">
        <f ca="1">IF(LEN(A23)=0,"",INDEX('Smelter Look-up'!$A:$A,MATCH($A23,'Smelter Look-up'!$E:$E,0)))</f>
        <v>Tin</v>
      </c>
      <c r="C23" s="186" t="str">
        <f ca="1">IF(LEN(A23)=0,"",INDEX('Smelter Look-up'!$C:$C,MATCH($A23,'Smelter Look-up'!$E:$E,0)))</f>
        <v>PT ATD Makmur Mandiri Jaya</v>
      </c>
      <c r="D23" s="230"/>
      <c r="E23" s="182" t="str">
        <f ca="1">IF(ISERROR($V23),"",OFFSET('Smelter Look-up'!$D$4,$V23-4,0)&amp;"")</f>
        <v>INDONESIA</v>
      </c>
      <c r="F23" s="182" t="str">
        <f ca="1">IF(ISERROR($V23),"",OFFSET('Smelter Look-up'!$E$4,$V23-4,0))</f>
        <v>CID002503</v>
      </c>
      <c r="G23" s="182" t="str">
        <f ca="1">IF(C23=$X$4,IF(ISERROR($V23),"Enter smelter details","RMI"),IF(ISERROR($V23),"",OFFSET('Smelter Look-up'!$F$4,$V23-4,0)))</f>
        <v>RMI</v>
      </c>
      <c r="H23" s="183">
        <f ca="1">IF(ISERROR($V23),"",OFFSET('Smelter Look-up'!$G$4,$V23-4,0))</f>
        <v>0</v>
      </c>
      <c r="I23" s="184" t="str">
        <f ca="1">IF(ISERROR($V23),"",OFFSET('Smelter Look-up'!$H$4,$V23-4,0))</f>
        <v>Sungailiat</v>
      </c>
      <c r="J23" s="184" t="str">
        <f ca="1">IF(ISERROR($V23),"",OFFSET('Smelter Look-up'!$I$4,$V23-4,0))</f>
        <v>Kepulauan Bangka Belitung</v>
      </c>
      <c r="K23" s="224"/>
      <c r="L23" s="224"/>
      <c r="M23" s="224"/>
      <c r="N23" s="224"/>
      <c r="O23" s="224"/>
      <c r="P23" s="185"/>
      <c r="Q23" s="225"/>
      <c r="R23" s="182" t="str">
        <f ca="1">IF(ISERROR($V23),"",OFFSET('Smelter Look-up'!$C$4,$V23-4,0)&amp;"")</f>
        <v>PT ATD Makmur Mandiri Jaya</v>
      </c>
      <c r="S23" s="181" t="str">
        <f t="shared" ca="1" si="2"/>
        <v>ID</v>
      </c>
      <c r="T23" s="181" t="str">
        <f ca="1">IF(B23="","",IF(ISERROR(MATCH($J23,SorP!$B$1:$B$6226,0)),"",INDIRECT("'SorP'!$A$"&amp;MATCH($S23&amp;$J23,SorP!C:C,0))))</f>
        <v>ID-BB</v>
      </c>
      <c r="U23" s="201"/>
      <c r="V23" s="226">
        <f ca="1">IF(C23="",NA(),IF(OR(C23="Smelter not listed",C23="Smelter not yet identified"),MATCH($B23&amp;$D23,'Smelter Look-up'!$J:$J,0),MATCH($B23&amp;$C23,'Smelter Look-up'!$J:$J,0)))</f>
        <v>505</v>
      </c>
      <c r="X23" s="227">
        <f t="shared" ca="1" si="3"/>
        <v>0</v>
      </c>
      <c r="AB23" s="228" t="str">
        <f t="shared" ca="1" si="4"/>
        <v>TinPT ATD Makmur Mandiri Jaya</v>
      </c>
    </row>
    <row r="24" spans="1:28" s="227" customFormat="1" ht="51">
      <c r="A24" s="181" t="s">
        <v>15448</v>
      </c>
      <c r="B24" s="182" t="str">
        <f ca="1">IF(LEN(A24)=0,"",INDEX('Smelter Look-up'!$A:$A,MATCH($A24,'Smelter Look-up'!$E:$E,0)))</f>
        <v>Tin</v>
      </c>
      <c r="C24" s="186" t="str">
        <f ca="1">IF(LEN(A24)=0,"",INDEX('Smelter Look-up'!$C:$C,MATCH($A24,'Smelter Look-up'!$E:$E,0)))</f>
        <v>PT Cipta Persada Mulia</v>
      </c>
      <c r="D24" s="230"/>
      <c r="E24" s="182" t="str">
        <f ca="1">IF(ISERROR($V24),"",OFFSET('Smelter Look-up'!$D$4,$V24-4,0)&amp;"")</f>
        <v>INDONESIA</v>
      </c>
      <c r="F24" s="182" t="str">
        <f ca="1">IF(ISERROR($V24),"",OFFSET('Smelter Look-up'!$E$4,$V24-4,0))</f>
        <v>CID002696</v>
      </c>
      <c r="G24" s="182" t="str">
        <f ca="1">IF(C24=$X$4,IF(ISERROR($V24),"Enter smelter details","RMI"),IF(ISERROR($V24),"",OFFSET('Smelter Look-up'!$F$4,$V24-4,0)))</f>
        <v>RMI</v>
      </c>
      <c r="H24" s="183">
        <f ca="1">IF(ISERROR($V24),"",OFFSET('Smelter Look-up'!$G$4,$V24-4,0))</f>
        <v>0</v>
      </c>
      <c r="I24" s="184" t="str">
        <f ca="1">IF(ISERROR($V24),"",OFFSET('Smelter Look-up'!$H$4,$V24-4,0))</f>
        <v>Batam</v>
      </c>
      <c r="J24" s="184" t="str">
        <f ca="1">IF(ISERROR($V24),"",OFFSET('Smelter Look-up'!$I$4,$V24-4,0))</f>
        <v>Kepulauan Riau</v>
      </c>
      <c r="K24" s="224"/>
      <c r="L24" s="224"/>
      <c r="M24" s="224"/>
      <c r="N24" s="224"/>
      <c r="O24" s="224"/>
      <c r="P24" s="185"/>
      <c r="Q24" s="225"/>
      <c r="R24" s="182" t="str">
        <f ca="1">IF(ISERROR($V24),"",OFFSET('Smelter Look-up'!$C$4,$V24-4,0)&amp;"")</f>
        <v>PT Cipta Persada Mulia</v>
      </c>
      <c r="S24" s="181" t="str">
        <f t="shared" ca="1" si="2"/>
        <v>ID</v>
      </c>
      <c r="T24" s="181" t="str">
        <f ca="1">IF(B24="","",IF(ISERROR(MATCH($J24,SorP!$B$1:$B$6226,0)),"",INDIRECT("'SorP'!$A$"&amp;MATCH($S24&amp;$J24,SorP!C:C,0))))</f>
        <v>ID-KR</v>
      </c>
      <c r="U24" s="201"/>
      <c r="V24" s="226">
        <f ca="1">IF(C24="",NA(),IF(OR(C24="Smelter not listed",C24="Smelter not yet identified"),MATCH($B24&amp;$D24,'Smelter Look-up'!$J:$J,0),MATCH($B24&amp;$C24,'Smelter Look-up'!$J:$J,0)))</f>
        <v>513</v>
      </c>
      <c r="X24" s="227">
        <f t="shared" ca="1" si="3"/>
        <v>0</v>
      </c>
      <c r="AB24" s="228" t="str">
        <f t="shared" ca="1" si="4"/>
        <v>TinPT Cipta Persada Mulia</v>
      </c>
    </row>
    <row r="25" spans="1:28" s="227" customFormat="1" ht="38.25">
      <c r="A25" s="181" t="s">
        <v>1801</v>
      </c>
      <c r="B25" s="182" t="str">
        <f ca="1">IF(LEN(A25)=0,"",INDEX('Smelter Look-up'!$A:$A,MATCH($A25,'Smelter Look-up'!$E:$E,0)))</f>
        <v>Tin</v>
      </c>
      <c r="C25" s="186" t="str">
        <f ca="1">IF(LEN(A25)=0,"",INDEX('Smelter Look-up'!$C:$C,MATCH($A25,'Smelter Look-up'!$E:$E,0)))</f>
        <v>Aurubis Beerse</v>
      </c>
      <c r="D25" s="230"/>
      <c r="E25" s="182" t="str">
        <f ca="1">IF(ISERROR($V25),"",OFFSET('Smelter Look-up'!$D$4,$V25-4,0)&amp;"")</f>
        <v>BELGIUM</v>
      </c>
      <c r="F25" s="182" t="str">
        <f ca="1">IF(ISERROR($V25),"",OFFSET('Smelter Look-up'!$E$4,$V25-4,0))</f>
        <v>CID002773</v>
      </c>
      <c r="G25" s="182" t="str">
        <f ca="1">IF(C25=$X$4,IF(ISERROR($V25),"Enter smelter details","RMI"),IF(ISERROR($V25),"",OFFSET('Smelter Look-up'!$F$4,$V25-4,0)))</f>
        <v>RMI</v>
      </c>
      <c r="H25" s="183">
        <f ca="1">IF(ISERROR($V25),"",OFFSET('Smelter Look-up'!$G$4,$V25-4,0))</f>
        <v>0</v>
      </c>
      <c r="I25" s="184" t="str">
        <f ca="1">IF(ISERROR($V25),"",OFFSET('Smelter Look-up'!$H$4,$V25-4,0))</f>
        <v>Beerse</v>
      </c>
      <c r="J25" s="184" t="str">
        <f ca="1">IF(ISERROR($V25),"",OFFSET('Smelter Look-up'!$I$4,$V25-4,0))</f>
        <v>Antwerpen</v>
      </c>
      <c r="K25" s="224"/>
      <c r="L25" s="224"/>
      <c r="M25" s="224"/>
      <c r="N25" s="224"/>
      <c r="O25" s="224"/>
      <c r="P25" s="185"/>
      <c r="Q25" s="225"/>
      <c r="R25" s="182" t="str">
        <f ca="1">IF(ISERROR($V25),"",OFFSET('Smelter Look-up'!$C$4,$V25-4,0)&amp;"")</f>
        <v>Aurubis Beerse</v>
      </c>
      <c r="S25" s="181" t="str">
        <f t="shared" ca="1" si="2"/>
        <v>BE</v>
      </c>
      <c r="T25" s="181" t="str">
        <f ca="1">IF(B25="","",IF(ISERROR(MATCH($J25,SorP!$B$1:$B$6226,0)),"",INDIRECT("'SorP'!$A$"&amp;MATCH($S25&amp;$J25,SorP!C:C,0))))</f>
        <v>BE-VAN</v>
      </c>
      <c r="U25" s="201"/>
      <c r="V25" s="226">
        <f ca="1">IF(C25="",NA(),IF(OR(C25="Smelter not listed",C25="Smelter not yet identified"),MATCH($B25&amp;$D25,'Smelter Look-up'!$J:$J,0),MATCH($B25&amp;$C25,'Smelter Look-up'!$J:$J,0)))</f>
        <v>405</v>
      </c>
      <c r="X25" s="227">
        <f t="shared" ca="1" si="3"/>
        <v>0</v>
      </c>
      <c r="AB25" s="228" t="str">
        <f t="shared" ca="1" si="4"/>
        <v>TinAurubis Beerse</v>
      </c>
    </row>
    <row r="26" spans="1:28" s="227" customFormat="1" ht="63.75">
      <c r="A26" s="181" t="s">
        <v>15458</v>
      </c>
      <c r="B26" s="182" t="str">
        <f ca="1">IF(LEN(A26)=0,"",INDEX('Smelter Look-up'!$A:$A,MATCH($A26,'Smelter Look-up'!$E:$E,0)))</f>
        <v>Tin</v>
      </c>
      <c r="C26" s="186" t="str">
        <f ca="1">IF(LEN(A26)=0,"",INDEX('Smelter Look-up'!$C:$C,MATCH($A26,'Smelter Look-up'!$E:$E,0)))</f>
        <v>PT Sukses Inti Makmur (SIM)</v>
      </c>
      <c r="D26" s="230"/>
      <c r="E26" s="182" t="str">
        <f ca="1">IF(ISERROR($V26),"",OFFSET('Smelter Look-up'!$D$4,$V26-4,0)&amp;"")</f>
        <v>INDONESIA</v>
      </c>
      <c r="F26" s="182" t="str">
        <f ca="1">IF(ISERROR($V26),"",OFFSET('Smelter Look-up'!$E$4,$V26-4,0))</f>
        <v>CID002816</v>
      </c>
      <c r="G26" s="182" t="str">
        <f ca="1">IF(C26=$X$4,IF(ISERROR($V26),"Enter smelter details","RMI"),IF(ISERROR($V26),"",OFFSET('Smelter Look-up'!$F$4,$V26-4,0)))</f>
        <v>RMI</v>
      </c>
      <c r="H26" s="183">
        <f ca="1">IF(ISERROR($V26),"",OFFSET('Smelter Look-up'!$G$4,$V26-4,0))</f>
        <v>0</v>
      </c>
      <c r="I26" s="184" t="str">
        <f ca="1">IF(ISERROR($V26),"",OFFSET('Smelter Look-up'!$H$4,$V26-4,0))</f>
        <v>Belitung</v>
      </c>
      <c r="J26" s="184" t="str">
        <f ca="1">IF(ISERROR($V26),"",OFFSET('Smelter Look-up'!$I$4,$V26-4,0))</f>
        <v>Kepulauan Bangka Belitung</v>
      </c>
      <c r="K26" s="224"/>
      <c r="L26" s="224"/>
      <c r="M26" s="224"/>
      <c r="N26" s="224"/>
      <c r="O26" s="224"/>
      <c r="P26" s="185"/>
      <c r="Q26" s="225"/>
      <c r="R26" s="182" t="str">
        <f ca="1">IF(ISERROR($V26),"",OFFSET('Smelter Look-up'!$C$4,$V26-4,0)&amp;"")</f>
        <v>PT Sukses Inti Makmur (SIM)</v>
      </c>
      <c r="S26" s="181" t="str">
        <f t="shared" ca="1" si="2"/>
        <v>ID</v>
      </c>
      <c r="T26" s="181" t="str">
        <f ca="1">IF(B26="","",IF(ISERROR(MATCH($J26,SorP!$B$1:$B$6226,0)),"",INDIRECT("'SorP'!$A$"&amp;MATCH($S26&amp;$J26,SorP!C:C,0))))</f>
        <v>ID-BB</v>
      </c>
      <c r="U26" s="201"/>
      <c r="V26" s="226">
        <f ca="1">IF(C26="",NA(),IF(OR(C26="Smelter not listed",C26="Smelter not yet identified"),MATCH($B26&amp;$D26,'Smelter Look-up'!$J:$J,0),MATCH($B26&amp;$C26,'Smelter Look-up'!$J:$J,0)))</f>
        <v>529</v>
      </c>
      <c r="X26" s="227">
        <f t="shared" ca="1" si="3"/>
        <v>0</v>
      </c>
      <c r="AB26" s="228" t="str">
        <f t="shared" ca="1" si="4"/>
        <v>TinPT Sukses Inti Makmur (SIM)</v>
      </c>
    </row>
    <row r="27" spans="1:28" s="227" customFormat="1" ht="51">
      <c r="A27" s="181" t="s">
        <v>15078</v>
      </c>
      <c r="B27" s="182" t="str">
        <f ca="1">IF(LEN(A27)=0,"",INDEX('Smelter Look-up'!$A:$A,MATCH($A27,'Smelter Look-up'!$E:$E,0)))</f>
        <v>Tin</v>
      </c>
      <c r="C27" s="186" t="str">
        <f ca="1">IF(LEN(A27)=0,"",INDEX('Smelter Look-up'!$C:$C,MATCH($A27,'Smelter Look-up'!$E:$E,0)))</f>
        <v>PT Menara Cipta Mulia</v>
      </c>
      <c r="D27" s="230"/>
      <c r="E27" s="182" t="str">
        <f ca="1">IF(ISERROR($V27),"",OFFSET('Smelter Look-up'!$D$4,$V27-4,0)&amp;"")</f>
        <v>INDONESIA</v>
      </c>
      <c r="F27" s="182" t="str">
        <f ca="1">IF(ISERROR($V27),"",OFFSET('Smelter Look-up'!$E$4,$V27-4,0))</f>
        <v>CID002835</v>
      </c>
      <c r="G27" s="182" t="str">
        <f ca="1">IF(C27=$X$4,IF(ISERROR($V27),"Enter smelter details","RMI"),IF(ISERROR($V27),"",OFFSET('Smelter Look-up'!$F$4,$V27-4,0)))</f>
        <v>RMI</v>
      </c>
      <c r="H27" s="183">
        <f ca="1">IF(ISERROR($V27),"",OFFSET('Smelter Look-up'!$G$4,$V27-4,0))</f>
        <v>0</v>
      </c>
      <c r="I27" s="184" t="str">
        <f ca="1">IF(ISERROR($V27),"",OFFSET('Smelter Look-up'!$H$4,$V27-4,0))</f>
        <v>Mentawak</v>
      </c>
      <c r="J27" s="184" t="str">
        <f ca="1">IF(ISERROR($V27),"",OFFSET('Smelter Look-up'!$I$4,$V27-4,0))</f>
        <v>Kepulauan Bangka Belitung</v>
      </c>
      <c r="K27" s="224"/>
      <c r="L27" s="224"/>
      <c r="M27" s="224"/>
      <c r="N27" s="224"/>
      <c r="O27" s="224"/>
      <c r="P27" s="185"/>
      <c r="Q27" s="225"/>
      <c r="R27" s="182" t="str">
        <f ca="1">IF(ISERROR($V27),"",OFFSET('Smelter Look-up'!$C$4,$V27-4,0)&amp;"")</f>
        <v>PT Menara Cipta Mulia</v>
      </c>
      <c r="S27" s="181" t="str">
        <f t="shared" ca="1" si="2"/>
        <v>ID</v>
      </c>
      <c r="T27" s="181" t="str">
        <f ca="1">IF(B27="","",IF(ISERROR(MATCH($J27,SorP!$B$1:$B$6226,0)),"",INDIRECT("'SorP'!$A$"&amp;MATCH($S27&amp;$J27,SorP!C:C,0))))</f>
        <v>ID-BB</v>
      </c>
      <c r="U27" s="201"/>
      <c r="V27" s="226">
        <f ca="1">IF(C27="",NA(),IF(OR(C27="Smelter not listed",C27="Smelter not yet identified"),MATCH($B27&amp;$D27,'Smelter Look-up'!$J:$J,0),MATCH($B27&amp;$C27,'Smelter Look-up'!$J:$J,0)))</f>
        <v>516</v>
      </c>
      <c r="X27" s="227">
        <f t="shared" ca="1" si="3"/>
        <v>0</v>
      </c>
      <c r="AB27" s="228" t="str">
        <f t="shared" ca="1" si="4"/>
        <v>TinPT Menara Cipta Mulia</v>
      </c>
    </row>
    <row r="28" spans="1:28" s="227" customFormat="1" ht="51">
      <c r="A28" s="181" t="s">
        <v>14001</v>
      </c>
      <c r="B28" s="182" t="str">
        <f ca="1">IF(LEN(A28)=0,"",INDEX('Smelter Look-up'!$A:$A,MATCH($A28,'Smelter Look-up'!$E:$E,0)))</f>
        <v>Tin</v>
      </c>
      <c r="C28" s="186" t="str">
        <f ca="1">IF(LEN(A28)=0,"",INDEX('Smelter Look-up'!$C:$C,MATCH($A28,'Smelter Look-up'!$E:$E,0)))</f>
        <v>PT Bangka Serumpun</v>
      </c>
      <c r="D28" s="230"/>
      <c r="E28" s="182" t="str">
        <f ca="1">IF(ISERROR($V28),"",OFFSET('Smelter Look-up'!$D$4,$V28-4,0)&amp;"")</f>
        <v>INDONESIA</v>
      </c>
      <c r="F28" s="182" t="str">
        <f ca="1">IF(ISERROR($V28),"",OFFSET('Smelter Look-up'!$E$4,$V28-4,0))</f>
        <v>CID003205</v>
      </c>
      <c r="G28" s="182" t="str">
        <f ca="1">IF(C28=$X$4,IF(ISERROR($V28),"Enter smelter details","RMI"),IF(ISERROR($V28),"",OFFSET('Smelter Look-up'!$F$4,$V28-4,0)))</f>
        <v>RMI</v>
      </c>
      <c r="H28" s="183">
        <f ca="1">IF(ISERROR($V28),"",OFFSET('Smelter Look-up'!$G$4,$V28-4,0))</f>
        <v>0</v>
      </c>
      <c r="I28" s="184" t="str">
        <f ca="1">IF(ISERROR($V28),"",OFFSET('Smelter Look-up'!$H$4,$V28-4,0))</f>
        <v>Pangkalpinang</v>
      </c>
      <c r="J28" s="184" t="str">
        <f ca="1">IF(ISERROR($V28),"",OFFSET('Smelter Look-up'!$I$4,$V28-4,0))</f>
        <v>Kepulauan Bangka Belitung</v>
      </c>
      <c r="K28" s="224"/>
      <c r="L28" s="224"/>
      <c r="M28" s="224"/>
      <c r="N28" s="224"/>
      <c r="O28" s="224"/>
      <c r="P28" s="185"/>
      <c r="Q28" s="225"/>
      <c r="R28" s="182" t="str">
        <f ca="1">IF(ISERROR($V28),"",OFFSET('Smelter Look-up'!$C$4,$V28-4,0)&amp;"")</f>
        <v>PT Bangka Serumpun</v>
      </c>
      <c r="S28" s="181" t="str">
        <f t="shared" ca="1" si="2"/>
        <v>ID</v>
      </c>
      <c r="T28" s="181" t="str">
        <f ca="1">IF(B28="","",IF(ISERROR(MATCH($J28,SorP!$B$1:$B$6226,0)),"",INDIRECT("'SorP'!$A$"&amp;MATCH($S28&amp;$J28,SorP!C:C,0))))</f>
        <v>ID-BB</v>
      </c>
      <c r="U28" s="201"/>
      <c r="V28" s="226">
        <f ca="1">IF(C28="",NA(),IF(OR(C28="Smelter not listed",C28="Smelter not yet identified"),MATCH($B28&amp;$D28,'Smelter Look-up'!$J:$J,0),MATCH($B28&amp;$C28,'Smelter Look-up'!$J:$J,0)))</f>
        <v>509</v>
      </c>
      <c r="X28" s="227">
        <f t="shared" ca="1" si="3"/>
        <v>0</v>
      </c>
      <c r="AB28" s="228" t="str">
        <f t="shared" ca="1" si="4"/>
        <v>TinPT Bangka Serumpun</v>
      </c>
    </row>
    <row r="29" spans="1:28" s="227" customFormat="1" ht="51">
      <c r="A29" s="181" t="s">
        <v>15082</v>
      </c>
      <c r="B29" s="182" t="str">
        <f ca="1">IF(LEN(A29)=0,"",INDEX('Smelter Look-up'!$A:$A,MATCH($A29,'Smelter Look-up'!$E:$E,0)))</f>
        <v>Tin</v>
      </c>
      <c r="C29" s="186" t="str">
        <f ca="1">IF(LEN(A29)=0,"",INDEX('Smelter Look-up'!$C:$C,MATCH($A29,'Smelter Look-up'!$E:$E,0)))</f>
        <v>PT Rajawali Rimba Perkasa</v>
      </c>
      <c r="D29" s="230"/>
      <c r="E29" s="182" t="str">
        <f ca="1">IF(ISERROR($V29),"",OFFSET('Smelter Look-up'!$D$4,$V29-4,0)&amp;"")</f>
        <v>INDONESIA</v>
      </c>
      <c r="F29" s="182" t="str">
        <f ca="1">IF(ISERROR($V29),"",OFFSET('Smelter Look-up'!$E$4,$V29-4,0))</f>
        <v>CID003381</v>
      </c>
      <c r="G29" s="182" t="str">
        <f ca="1">IF(C29=$X$4,IF(ISERROR($V29),"Enter smelter details","RMI"),IF(ISERROR($V29),"",OFFSET('Smelter Look-up'!$F$4,$V29-4,0)))</f>
        <v>RMI</v>
      </c>
      <c r="H29" s="183">
        <f ca="1">IF(ISERROR($V29),"",OFFSET('Smelter Look-up'!$G$4,$V29-4,0))</f>
        <v>0</v>
      </c>
      <c r="I29" s="184" t="str">
        <f ca="1">IF(ISERROR($V29),"",OFFSET('Smelter Look-up'!$H$4,$V29-4,0))</f>
        <v>Tukak Sadai</v>
      </c>
      <c r="J29" s="184" t="str">
        <f ca="1">IF(ISERROR($V29),"",OFFSET('Smelter Look-up'!$I$4,$V29-4,0))</f>
        <v>Kepulauan Bangka Belitung</v>
      </c>
      <c r="K29" s="224"/>
      <c r="L29" s="224"/>
      <c r="M29" s="224"/>
      <c r="N29" s="224"/>
      <c r="O29" s="224"/>
      <c r="P29" s="185"/>
      <c r="Q29" s="225"/>
      <c r="R29" s="182" t="str">
        <f ca="1">IF(ISERROR($V29),"",OFFSET('Smelter Look-up'!$C$4,$V29-4,0)&amp;"")</f>
        <v>PT Rajawali Rimba Perkasa</v>
      </c>
      <c r="S29" s="181" t="str">
        <f t="shared" ca="1" si="2"/>
        <v>ID</v>
      </c>
      <c r="T29" s="181" t="str">
        <f ca="1">IF(B29="","",IF(ISERROR(MATCH($J29,SorP!$B$1:$B$6226,0)),"",INDIRECT("'SorP'!$A$"&amp;MATCH($S29&amp;$J29,SorP!C:C,0))))</f>
        <v>ID-BB</v>
      </c>
      <c r="U29" s="201"/>
      <c r="V29" s="226">
        <f ca="1">IF(C29="",NA(),IF(OR(C29="Smelter not listed",C29="Smelter not yet identified"),MATCH($B29&amp;$D29,'Smelter Look-up'!$J:$J,0),MATCH($B29&amp;$C29,'Smelter Look-up'!$J:$J,0)))</f>
        <v>524</v>
      </c>
      <c r="X29" s="227">
        <f t="shared" ca="1" si="3"/>
        <v>0</v>
      </c>
      <c r="AB29" s="228" t="str">
        <f t="shared" ca="1" si="4"/>
        <v>TinPT Rajawali Rimba Perkasa</v>
      </c>
    </row>
    <row r="30" spans="1:28" s="227" customFormat="1" ht="38.25">
      <c r="A30" s="181" t="s">
        <v>13840</v>
      </c>
      <c r="B30" s="182" t="str">
        <f ca="1">IF(LEN(A30)=0,"",INDEX('Smelter Look-up'!$A:$A,MATCH($A30,'Smelter Look-up'!$E:$E,0)))</f>
        <v>Tin</v>
      </c>
      <c r="C30" s="186" t="str">
        <f ca="1">IF(LEN(A30)=0,"",INDEX('Smelter Look-up'!$C:$C,MATCH($A30,'Smelter Look-up'!$E:$E,0)))</f>
        <v>Luna Smelter, Ltd.</v>
      </c>
      <c r="D30" s="230"/>
      <c r="E30" s="182" t="str">
        <f ca="1">IF(ISERROR($V30),"",OFFSET('Smelter Look-up'!$D$4,$V30-4,0)&amp;"")</f>
        <v>RWANDA</v>
      </c>
      <c r="F30" s="182" t="str">
        <f ca="1">IF(ISERROR($V30),"",OFFSET('Smelter Look-up'!$E$4,$V30-4,0))</f>
        <v>CID003387</v>
      </c>
      <c r="G30" s="182" t="str">
        <f ca="1">IF(C30=$X$4,IF(ISERROR($V30),"Enter smelter details","RMI"),IF(ISERROR($V30),"",OFFSET('Smelter Look-up'!$F$4,$V30-4,0)))</f>
        <v>RMI</v>
      </c>
      <c r="H30" s="183">
        <f ca="1">IF(ISERROR($V30),"",OFFSET('Smelter Look-up'!$G$4,$V30-4,0))</f>
        <v>0</v>
      </c>
      <c r="I30" s="184" t="str">
        <f ca="1">IF(ISERROR($V30),"",OFFSET('Smelter Look-up'!$H$4,$V30-4,0))</f>
        <v>Kigali</v>
      </c>
      <c r="J30" s="184" t="str">
        <f ca="1">IF(ISERROR($V30),"",OFFSET('Smelter Look-up'!$I$4,$V30-4,0))</f>
        <v>City of Kigali</v>
      </c>
      <c r="K30" s="224"/>
      <c r="L30" s="224"/>
      <c r="M30" s="224"/>
      <c r="N30" s="224"/>
      <c r="O30" s="224"/>
      <c r="P30" s="185"/>
      <c r="Q30" s="225"/>
      <c r="R30" s="182" t="str">
        <f ca="1">IF(ISERROR($V30),"",OFFSET('Smelter Look-up'!$C$4,$V30-4,0)&amp;"")</f>
        <v>Luna Smelter, Ltd.</v>
      </c>
      <c r="S30" s="181" t="str">
        <f t="shared" ca="1" si="2"/>
        <v>RW</v>
      </c>
      <c r="T30" s="181" t="str">
        <f ca="1">IF(B30="","",IF(ISERROR(MATCH($J30,SorP!$B$1:$B$6226,0)),"",INDIRECT("'SorP'!$A$"&amp;MATCH($S30&amp;$J30,SorP!C:C,0))))</f>
        <v>RW-01</v>
      </c>
      <c r="U30" s="201"/>
      <c r="V30" s="226">
        <f ca="1">IF(C30="",NA(),IF(OR(C30="Smelter not listed",C30="Smelter not yet identified"),MATCH($B30&amp;$D30,'Smelter Look-up'!$J:$J,0),MATCH($B30&amp;$C30,'Smelter Look-up'!$J:$J,0)))</f>
        <v>471</v>
      </c>
      <c r="X30" s="227">
        <f t="shared" ca="1" si="3"/>
        <v>0</v>
      </c>
      <c r="AB30" s="228" t="str">
        <f t="shared" ca="1" si="4"/>
        <v>TinLuna Smelter, Ltd.</v>
      </c>
    </row>
    <row r="31" spans="1:28" s="227" customFormat="1" ht="63.75">
      <c r="A31" s="181" t="s">
        <v>13841</v>
      </c>
      <c r="B31" s="182" t="str">
        <f ca="1">IF(LEN(A31)=0,"",INDEX('Smelter Look-up'!$A:$A,MATCH($A31,'Smelter Look-up'!$E:$E,0)))</f>
        <v>Tin</v>
      </c>
      <c r="C31" s="186" t="str">
        <f ca="1">IF(LEN(A31)=0,"",INDEX('Smelter Look-up'!$C:$C,MATCH($A31,'Smelter Look-up'!$E:$E,0)))</f>
        <v>PT Mitra Sukses Globalindo</v>
      </c>
      <c r="D31" s="230"/>
      <c r="E31" s="182" t="str">
        <f ca="1">IF(ISERROR($V31),"",OFFSET('Smelter Look-up'!$D$4,$V31-4,0)&amp;"")</f>
        <v>INDONESIA</v>
      </c>
      <c r="F31" s="182" t="str">
        <f ca="1">IF(ISERROR($V31),"",OFFSET('Smelter Look-up'!$E$4,$V31-4,0))</f>
        <v>CID003449</v>
      </c>
      <c r="G31" s="182" t="str">
        <f ca="1">IF(C31=$X$4,IF(ISERROR($V31),"Enter smelter details","RMI"),IF(ISERROR($V31),"",OFFSET('Smelter Look-up'!$F$4,$V31-4,0)))</f>
        <v>RMI</v>
      </c>
      <c r="H31" s="183">
        <f ca="1">IF(ISERROR($V31),"",OFFSET('Smelter Look-up'!$G$4,$V31-4,0))</f>
        <v>0</v>
      </c>
      <c r="I31" s="184" t="str">
        <f ca="1">IF(ISERROR($V31),"",OFFSET('Smelter Look-up'!$H$4,$V31-4,0))</f>
        <v>Pangkalpinang</v>
      </c>
      <c r="J31" s="184" t="str">
        <f ca="1">IF(ISERROR($V31),"",OFFSET('Smelter Look-up'!$I$4,$V31-4,0))</f>
        <v>Kepulauan Bangka Belitung</v>
      </c>
      <c r="K31" s="224"/>
      <c r="L31" s="224"/>
      <c r="M31" s="224"/>
      <c r="N31" s="224"/>
      <c r="O31" s="224"/>
      <c r="P31" s="185"/>
      <c r="Q31" s="225"/>
      <c r="R31" s="182" t="str">
        <f ca="1">IF(ISERROR($V31),"",OFFSET('Smelter Look-up'!$C$4,$V31-4,0)&amp;"")</f>
        <v>PT Mitra Sukses Globalindo</v>
      </c>
      <c r="S31" s="181" t="str">
        <f t="shared" ca="1" si="2"/>
        <v>ID</v>
      </c>
      <c r="T31" s="181" t="str">
        <f ca="1">IF(B31="","",IF(ISERROR(MATCH($J31,SorP!$B$1:$B$6226,0)),"",INDIRECT("'SorP'!$A$"&amp;MATCH($S31&amp;$J31,SorP!C:C,0))))</f>
        <v>ID-BB</v>
      </c>
      <c r="U31" s="201"/>
      <c r="V31" s="226">
        <f ca="1">IF(C31="",NA(),IF(OR(C31="Smelter not listed",C31="Smelter not yet identified"),MATCH($B31&amp;$D31,'Smelter Look-up'!$J:$J,0),MATCH($B31&amp;$C31,'Smelter Look-up'!$J:$J,0)))</f>
        <v>519</v>
      </c>
      <c r="X31" s="227">
        <f t="shared" ca="1" si="3"/>
        <v>0</v>
      </c>
      <c r="AB31" s="228" t="str">
        <f t="shared" ca="1" si="4"/>
        <v>TinPT Mitra Sukses Globalindo</v>
      </c>
    </row>
    <row r="32" spans="1:28" s="227" customFormat="1" ht="25.5">
      <c r="A32" s="181" t="s">
        <v>647</v>
      </c>
      <c r="B32" s="182" t="str">
        <f ca="1">IF(LEN(A32)=0,"",INDEX('Smelter Look-up'!$A:$A,MATCH($A32,'Smelter Look-up'!$E:$E,0)))</f>
        <v>Gold</v>
      </c>
      <c r="C32" s="186" t="str">
        <f ca="1">IF(LEN(A32)=0,"",INDEX('Smelter Look-up'!$C:$C,MATCH($A32,'Smelter Look-up'!$E:$E,0)))</f>
        <v>Agosi AG</v>
      </c>
      <c r="D32" s="230"/>
      <c r="E32" s="182" t="str">
        <f ca="1">IF(ISERROR($V32),"",OFFSET('Smelter Look-up'!$D$4,$V32-4,0)&amp;"")</f>
        <v>GERMANY</v>
      </c>
      <c r="F32" s="182" t="str">
        <f ca="1">IF(ISERROR($V32),"",OFFSET('Smelter Look-up'!$E$4,$V32-4,0))</f>
        <v>CID000035</v>
      </c>
      <c r="G32" s="182" t="str">
        <f ca="1">IF(C32=$X$4,IF(ISERROR($V32),"Enter smelter details","RMI"),IF(ISERROR($V32),"",OFFSET('Smelter Look-up'!$F$4,$V32-4,0)))</f>
        <v>RMI</v>
      </c>
      <c r="H32" s="183">
        <f ca="1">IF(ISERROR($V32),"",OFFSET('Smelter Look-up'!$G$4,$V32-4,0))</f>
        <v>0</v>
      </c>
      <c r="I32" s="184" t="str">
        <f ca="1">IF(ISERROR($V32),"",OFFSET('Smelter Look-up'!$H$4,$V32-4,0))</f>
        <v>Pforzheim</v>
      </c>
      <c r="J32" s="184" t="str">
        <f ca="1">IF(ISERROR($V32),"",OFFSET('Smelter Look-up'!$I$4,$V32-4,0))</f>
        <v>Baden-Württemberg</v>
      </c>
      <c r="K32" s="224"/>
      <c r="L32" s="224"/>
      <c r="M32" s="224"/>
      <c r="N32" s="224"/>
      <c r="O32" s="224"/>
      <c r="P32" s="185"/>
      <c r="Q32" s="225"/>
      <c r="R32" s="182" t="str">
        <f ca="1">IF(ISERROR($V32),"",OFFSET('Smelter Look-up'!$C$4,$V32-4,0)&amp;"")</f>
        <v>Agosi AG</v>
      </c>
      <c r="S32" s="181" t="str">
        <f t="shared" ca="1" si="2"/>
        <v>DE</v>
      </c>
      <c r="T32" s="181" t="str">
        <f ca="1">IF(B32="","",IF(ISERROR(MATCH($J32,SorP!$B$1:$B$6226,0)),"",INDIRECT("'SorP'!$A$"&amp;MATCH($S32&amp;$J32,SorP!C:C,0))))</f>
        <v>DE-BW</v>
      </c>
      <c r="U32" s="201"/>
      <c r="V32" s="226">
        <f ca="1">IF(C32="",NA(),IF(OR(C32="Smelter not listed",C32="Smelter not yet identified"),MATCH($B32&amp;$D32,'Smelter Look-up'!$J:$J,0),MATCH($B32&amp;$C32,'Smelter Look-up'!$J:$J,0)))</f>
        <v>10</v>
      </c>
      <c r="X32" s="227">
        <f t="shared" ca="1" si="3"/>
        <v>0</v>
      </c>
      <c r="AB32" s="228" t="str">
        <f t="shared" ca="1" si="4"/>
        <v>GoldAgosi AG</v>
      </c>
    </row>
    <row r="33" spans="1:28" s="227" customFormat="1" ht="51">
      <c r="A33" s="181" t="s">
        <v>650</v>
      </c>
      <c r="B33" s="182" t="str">
        <f ca="1">IF(LEN(A33)=0,"",INDEX('Smelter Look-up'!$A:$A,MATCH($A33,'Smelter Look-up'!$E:$E,0)))</f>
        <v>Gold</v>
      </c>
      <c r="C33" s="186" t="str">
        <f ca="1">IF(LEN(A33)=0,"",INDEX('Smelter Look-up'!$C:$C,MATCH($A33,'Smelter Look-up'!$E:$E,0)))</f>
        <v>Argor-Heraeus S.A.</v>
      </c>
      <c r="D33" s="230"/>
      <c r="E33" s="182" t="str">
        <f ca="1">IF(ISERROR($V33),"",OFFSET('Smelter Look-up'!$D$4,$V33-4,0)&amp;"")</f>
        <v>SWITZERLAND</v>
      </c>
      <c r="F33" s="182" t="str">
        <f ca="1">IF(ISERROR($V33),"",OFFSET('Smelter Look-up'!$E$4,$V33-4,0))</f>
        <v>CID000077</v>
      </c>
      <c r="G33" s="182" t="str">
        <f ca="1">IF(C33=$X$4,IF(ISERROR($V33),"Enter smelter details","RMI"),IF(ISERROR($V33),"",OFFSET('Smelter Look-up'!$F$4,$V33-4,0)))</f>
        <v>RMI</v>
      </c>
      <c r="H33" s="183">
        <f ca="1">IF(ISERROR($V33),"",OFFSET('Smelter Look-up'!$G$4,$V33-4,0))</f>
        <v>0</v>
      </c>
      <c r="I33" s="184" t="str">
        <f ca="1">IF(ISERROR($V33),"",OFFSET('Smelter Look-up'!$H$4,$V33-4,0))</f>
        <v>Mendrisio</v>
      </c>
      <c r="J33" s="184" t="str">
        <f ca="1">IF(ISERROR($V33),"",OFFSET('Smelter Look-up'!$I$4,$V33-4,0))</f>
        <v>Ticino</v>
      </c>
      <c r="K33" s="224"/>
      <c r="L33" s="224"/>
      <c r="M33" s="224"/>
      <c r="N33" s="224"/>
      <c r="O33" s="224"/>
      <c r="P33" s="185"/>
      <c r="Q33" s="225"/>
      <c r="R33" s="182" t="str">
        <f ca="1">IF(ISERROR($V33),"",OFFSET('Smelter Look-up'!$C$4,$V33-4,0)&amp;"")</f>
        <v>Argor-Heraeus S.A.</v>
      </c>
      <c r="S33" s="181" t="str">
        <f t="shared" ca="1" si="2"/>
        <v>CH</v>
      </c>
      <c r="T33" s="181" t="str">
        <f ca="1">IF(B33="","",IF(ISERROR(MATCH($J33,SorP!$B$1:$B$6226,0)),"",INDIRECT("'SorP'!$A$"&amp;MATCH($S33&amp;$J33,SorP!C:C,0))))</f>
        <v>CH-TI</v>
      </c>
      <c r="U33" s="201"/>
      <c r="V33" s="226">
        <f ca="1">IF(C33="",NA(),IF(OR(C33="Smelter not listed",C33="Smelter not yet identified"),MATCH($B33&amp;$D33,'Smelter Look-up'!$J:$J,0),MATCH($B33&amp;$C33,'Smelter Look-up'!$J:$J,0)))</f>
        <v>28</v>
      </c>
      <c r="X33" s="227">
        <f t="shared" ca="1" si="3"/>
        <v>0</v>
      </c>
      <c r="AB33" s="228" t="str">
        <f t="shared" ca="1" si="4"/>
        <v>GoldArgor-Heraeus S.A.</v>
      </c>
    </row>
    <row r="34" spans="1:28" s="227" customFormat="1" ht="25.5">
      <c r="A34" s="181" t="s">
        <v>654</v>
      </c>
      <c r="B34" s="182" t="str">
        <f ca="1">IF(LEN(A34)=0,"",INDEX('Smelter Look-up'!$A:$A,MATCH($A34,'Smelter Look-up'!$E:$E,0)))</f>
        <v>Gold</v>
      </c>
      <c r="C34" s="186" t="str">
        <f ca="1">IF(LEN(A34)=0,"",INDEX('Smelter Look-up'!$C:$C,MATCH($A34,'Smelter Look-up'!$E:$E,0)))</f>
        <v>Aurubis AG</v>
      </c>
      <c r="D34" s="230"/>
      <c r="E34" s="182" t="str">
        <f ca="1">IF(ISERROR($V34),"",OFFSET('Smelter Look-up'!$D$4,$V34-4,0)&amp;"")</f>
        <v>GERMANY</v>
      </c>
      <c r="F34" s="182" t="str">
        <f ca="1">IF(ISERROR($V34),"",OFFSET('Smelter Look-up'!$E$4,$V34-4,0))</f>
        <v>CID000113</v>
      </c>
      <c r="G34" s="182" t="str">
        <f ca="1">IF(C34=$X$4,IF(ISERROR($V34),"Enter smelter details","RMI"),IF(ISERROR($V34),"",OFFSET('Smelter Look-up'!$F$4,$V34-4,0)))</f>
        <v>RMI</v>
      </c>
      <c r="H34" s="183">
        <f ca="1">IF(ISERROR($V34),"",OFFSET('Smelter Look-up'!$G$4,$V34-4,0))</f>
        <v>0</v>
      </c>
      <c r="I34" s="184" t="str">
        <f ca="1">IF(ISERROR($V34),"",OFFSET('Smelter Look-up'!$H$4,$V34-4,0))</f>
        <v>Hamburg</v>
      </c>
      <c r="J34" s="184" t="str">
        <f ca="1">IF(ISERROR($V34),"",OFFSET('Smelter Look-up'!$I$4,$V34-4,0))</f>
        <v>Hamburg</v>
      </c>
      <c r="K34" s="224"/>
      <c r="L34" s="224"/>
      <c r="M34" s="224"/>
      <c r="N34" s="224"/>
      <c r="O34" s="224"/>
      <c r="P34" s="185"/>
      <c r="Q34" s="225"/>
      <c r="R34" s="182" t="str">
        <f ca="1">IF(ISERROR($V34),"",OFFSET('Smelter Look-up'!$C$4,$V34-4,0)&amp;"")</f>
        <v>Aurubis AG</v>
      </c>
      <c r="S34" s="181" t="str">
        <f t="shared" ca="1" si="2"/>
        <v>DE</v>
      </c>
      <c r="T34" s="181" t="str">
        <f ca="1">IF(B34="","",IF(ISERROR(MATCH($J34,SorP!$B$1:$B$6226,0)),"",INDIRECT("'SorP'!$A$"&amp;MATCH($S34&amp;$J34,SorP!C:C,0))))</f>
        <v>DE-HH</v>
      </c>
      <c r="U34" s="201"/>
      <c r="V34" s="226">
        <f ca="1">IF(C34="",NA(),IF(OR(C34="Smelter not listed",C34="Smelter not yet identified"),MATCH($B34&amp;$D34,'Smelter Look-up'!$J:$J,0),MATCH($B34&amp;$C34,'Smelter Look-up'!$J:$J,0)))</f>
        <v>38</v>
      </c>
      <c r="X34" s="227">
        <f t="shared" ca="1" si="3"/>
        <v>0</v>
      </c>
      <c r="AB34" s="228" t="str">
        <f t="shared" ca="1" si="4"/>
        <v>GoldAurubis AG</v>
      </c>
    </row>
    <row r="35" spans="1:28" s="227" customFormat="1" ht="51">
      <c r="A35" s="181" t="s">
        <v>658</v>
      </c>
      <c r="B35" s="182" t="str">
        <f ca="1">IF(LEN(A35)=0,"",INDEX('Smelter Look-up'!$A:$A,MATCH($A35,'Smelter Look-up'!$E:$E,0)))</f>
        <v>Gold</v>
      </c>
      <c r="C35" s="186" t="str">
        <f ca="1">IF(LEN(A35)=0,"",INDEX('Smelter Look-up'!$C:$C,MATCH($A35,'Smelter Look-up'!$E:$E,0)))</f>
        <v>C. Hafner GmbH + Co. KG</v>
      </c>
      <c r="D35" s="230"/>
      <c r="E35" s="182" t="str">
        <f ca="1">IF(ISERROR($V35),"",OFFSET('Smelter Look-up'!$D$4,$V35-4,0)&amp;"")</f>
        <v>GERMANY</v>
      </c>
      <c r="F35" s="182" t="str">
        <f ca="1">IF(ISERROR($V35),"",OFFSET('Smelter Look-up'!$E$4,$V35-4,0))</f>
        <v>CID000176</v>
      </c>
      <c r="G35" s="182" t="str">
        <f ca="1">IF(C35=$X$4,IF(ISERROR($V35),"Enter smelter details","RMI"),IF(ISERROR($V35),"",OFFSET('Smelter Look-up'!$F$4,$V35-4,0)))</f>
        <v>RMI</v>
      </c>
      <c r="H35" s="183">
        <f ca="1">IF(ISERROR($V35),"",OFFSET('Smelter Look-up'!$G$4,$V35-4,0))</f>
        <v>0</v>
      </c>
      <c r="I35" s="184" t="str">
        <f ca="1">IF(ISERROR($V35),"",OFFSET('Smelter Look-up'!$H$4,$V35-4,0))</f>
        <v>Pforzheim</v>
      </c>
      <c r="J35" s="184" t="str">
        <f ca="1">IF(ISERROR($V35),"",OFFSET('Smelter Look-up'!$I$4,$V35-4,0))</f>
        <v>Baden-Württemberg</v>
      </c>
      <c r="K35" s="224"/>
      <c r="L35" s="224"/>
      <c r="M35" s="224"/>
      <c r="N35" s="224"/>
      <c r="O35" s="224"/>
      <c r="P35" s="185"/>
      <c r="Q35" s="225"/>
      <c r="R35" s="182" t="str">
        <f ca="1">IF(ISERROR($V35),"",OFFSET('Smelter Look-up'!$C$4,$V35-4,0)&amp;"")</f>
        <v>C. Hafner GmbH + Co. KG</v>
      </c>
      <c r="S35" s="181" t="str">
        <f t="shared" ca="1" si="2"/>
        <v>DE</v>
      </c>
      <c r="T35" s="181" t="str">
        <f ca="1">IF(B35="","",IF(ISERROR(MATCH($J35,SorP!$B$1:$B$6226,0)),"",INDIRECT("'SorP'!$A$"&amp;MATCH($S35&amp;$J35,SorP!C:C,0))))</f>
        <v>DE-BW</v>
      </c>
      <c r="U35" s="201"/>
      <c r="V35" s="226">
        <f ca="1">IF(C35="",NA(),IF(OR(C35="Smelter not listed",C35="Smelter not yet identified"),MATCH($B35&amp;$D35,'Smelter Look-up'!$J:$J,0),MATCH($B35&amp;$C35,'Smelter Look-up'!$J:$J,0)))</f>
        <v>44</v>
      </c>
      <c r="X35" s="227">
        <f t="shared" ca="1" si="3"/>
        <v>0</v>
      </c>
      <c r="AB35" s="228" t="str">
        <f t="shared" ca="1" si="4"/>
        <v>GoldC. Hafner GmbH + Co. KG</v>
      </c>
    </row>
    <row r="36" spans="1:28" s="227" customFormat="1" ht="51">
      <c r="A36" s="181" t="s">
        <v>672</v>
      </c>
      <c r="B36" s="182" t="str">
        <f ca="1">IF(LEN(A36)=0,"",INDEX('Smelter Look-up'!$A:$A,MATCH($A36,'Smelter Look-up'!$E:$E,0)))</f>
        <v>Gold</v>
      </c>
      <c r="C36" s="186" t="str">
        <f ca="1">IF(LEN(A36)=0,"",INDEX('Smelter Look-up'!$C:$C,MATCH($A36,'Smelter Look-up'!$E:$E,0)))</f>
        <v>Heimerle + Meule GmbH</v>
      </c>
      <c r="D36" s="230"/>
      <c r="E36" s="182" t="str">
        <f ca="1">IF(ISERROR($V36),"",OFFSET('Smelter Look-up'!$D$4,$V36-4,0)&amp;"")</f>
        <v>GERMANY</v>
      </c>
      <c r="F36" s="182" t="str">
        <f ca="1">IF(ISERROR($V36),"",OFFSET('Smelter Look-up'!$E$4,$V36-4,0))</f>
        <v>CID000694</v>
      </c>
      <c r="G36" s="182" t="str">
        <f ca="1">IF(C36=$X$4,IF(ISERROR($V36),"Enter smelter details","RMI"),IF(ISERROR($V36),"",OFFSET('Smelter Look-up'!$F$4,$V36-4,0)))</f>
        <v>RMI</v>
      </c>
      <c r="H36" s="183">
        <f ca="1">IF(ISERROR($V36),"",OFFSET('Smelter Look-up'!$G$4,$V36-4,0))</f>
        <v>0</v>
      </c>
      <c r="I36" s="184" t="str">
        <f ca="1">IF(ISERROR($V36),"",OFFSET('Smelter Look-up'!$H$4,$V36-4,0))</f>
        <v>Pforzheim</v>
      </c>
      <c r="J36" s="184" t="str">
        <f ca="1">IF(ISERROR($V36),"",OFFSET('Smelter Look-up'!$I$4,$V36-4,0))</f>
        <v>Baden-Württemberg</v>
      </c>
      <c r="K36" s="224"/>
      <c r="L36" s="224"/>
      <c r="M36" s="224"/>
      <c r="N36" s="224"/>
      <c r="O36" s="224"/>
      <c r="P36" s="185"/>
      <c r="Q36" s="225"/>
      <c r="R36" s="182" t="str">
        <f ca="1">IF(ISERROR($V36),"",OFFSET('Smelter Look-up'!$C$4,$V36-4,0)&amp;"")</f>
        <v>Heimerle + Meule GmbH</v>
      </c>
      <c r="S36" s="181" t="str">
        <f t="shared" ca="1" si="2"/>
        <v>DE</v>
      </c>
      <c r="T36" s="181" t="str">
        <f ca="1">IF(B36="","",IF(ISERROR(MATCH($J36,SorP!$B$1:$B$6226,0)),"",INDIRECT("'SorP'!$A$"&amp;MATCH($S36&amp;$J36,SorP!C:C,0))))</f>
        <v>DE-BW</v>
      </c>
      <c r="U36" s="201"/>
      <c r="V36" s="226">
        <f ca="1">IF(C36="",NA(),IF(OR(C36="Smelter not listed",C36="Smelter not yet identified"),MATCH($B36&amp;$D36,'Smelter Look-up'!$J:$J,0),MATCH($B36&amp;$C36,'Smelter Look-up'!$J:$J,0)))</f>
        <v>105</v>
      </c>
      <c r="X36" s="227">
        <f t="shared" ca="1" si="3"/>
        <v>0</v>
      </c>
      <c r="AB36" s="228" t="str">
        <f t="shared" ca="1" si="4"/>
        <v>GoldHeimerle + Meule GmbH</v>
      </c>
    </row>
    <row r="37" spans="1:28" s="227" customFormat="1" ht="63.75">
      <c r="A37" s="181" t="s">
        <v>674</v>
      </c>
      <c r="B37" s="182" t="str">
        <f ca="1">IF(LEN(A37)=0,"",INDEX('Smelter Look-up'!$A:$A,MATCH($A37,'Smelter Look-up'!$E:$E,0)))</f>
        <v>Gold</v>
      </c>
      <c r="C37" s="186" t="str">
        <f ca="1">IF(LEN(A37)=0,"",INDEX('Smelter Look-up'!$C:$C,MATCH($A37,'Smelter Look-up'!$E:$E,0)))</f>
        <v>Heraeus Germany GmbH Co. KG</v>
      </c>
      <c r="D37" s="230"/>
      <c r="E37" s="182" t="str">
        <f ca="1">IF(ISERROR($V37),"",OFFSET('Smelter Look-up'!$D$4,$V37-4,0)&amp;"")</f>
        <v>GERMANY</v>
      </c>
      <c r="F37" s="182" t="str">
        <f ca="1">IF(ISERROR($V37),"",OFFSET('Smelter Look-up'!$E$4,$V37-4,0))</f>
        <v>CID000711</v>
      </c>
      <c r="G37" s="182" t="str">
        <f ca="1">IF(C37=$X$4,IF(ISERROR($V37),"Enter smelter details","RMI"),IF(ISERROR($V37),"",OFFSET('Smelter Look-up'!$F$4,$V37-4,0)))</f>
        <v>RMI</v>
      </c>
      <c r="H37" s="183">
        <f ca="1">IF(ISERROR($V37),"",OFFSET('Smelter Look-up'!$G$4,$V37-4,0))</f>
        <v>0</v>
      </c>
      <c r="I37" s="184" t="str">
        <f ca="1">IF(ISERROR($V37),"",OFFSET('Smelter Look-up'!$H$4,$V37-4,0))</f>
        <v>Hanau</v>
      </c>
      <c r="J37" s="184" t="str">
        <f ca="1">IF(ISERROR($V37),"",OFFSET('Smelter Look-up'!$I$4,$V37-4,0))</f>
        <v>Hessen</v>
      </c>
      <c r="K37" s="224"/>
      <c r="L37" s="224"/>
      <c r="M37" s="224"/>
      <c r="N37" s="224"/>
      <c r="O37" s="224"/>
      <c r="P37" s="185"/>
      <c r="Q37" s="225"/>
      <c r="R37" s="182" t="str">
        <f ca="1">IF(ISERROR($V37),"",OFFSET('Smelter Look-up'!$C$4,$V37-4,0)&amp;"")</f>
        <v>Heraeus Germany GmbH Co. KG</v>
      </c>
      <c r="S37" s="181" t="str">
        <f t="shared" ca="1" si="2"/>
        <v>DE</v>
      </c>
      <c r="T37" s="181" t="str">
        <f ca="1">IF(B37="","",IF(ISERROR(MATCH($J37,SorP!$B$1:$B$6226,0)),"",INDIRECT("'SorP'!$A$"&amp;MATCH($S37&amp;$J37,SorP!C:C,0))))</f>
        <v>DE-HE</v>
      </c>
      <c r="U37" s="201"/>
      <c r="V37" s="226">
        <f ca="1">IF(C37="",NA(),IF(OR(C37="Smelter not listed",C37="Smelter not yet identified"),MATCH($B37&amp;$D37,'Smelter Look-up'!$J:$J,0),MATCH($B37&amp;$C37,'Smelter Look-up'!$J:$J,0)))</f>
        <v>109</v>
      </c>
      <c r="X37" s="227">
        <f t="shared" ca="1" si="3"/>
        <v>0</v>
      </c>
      <c r="AB37" s="228" t="str">
        <f t="shared" ca="1" si="4"/>
        <v>GoldHeraeus Germany GmbH Co. KG</v>
      </c>
    </row>
    <row r="38" spans="1:28" s="227" customFormat="1" ht="102">
      <c r="A38" s="181" t="s">
        <v>732</v>
      </c>
      <c r="B38" s="182" t="str">
        <f ca="1">IF(LEN(A38)=0,"",INDEX('Smelter Look-up'!$A:$A,MATCH($A38,'Smelter Look-up'!$E:$E,0)))</f>
        <v>Gold</v>
      </c>
      <c r="C38" s="186" t="str">
        <f ca="1">IF(LEN(A38)=0,"",INDEX('Smelter Look-up'!$C:$C,MATCH($A38,'Smelter Look-up'!$E:$E,0)))</f>
        <v>Umicore S.A. Business Unit Precious Metals Refining</v>
      </c>
      <c r="D38" s="230"/>
      <c r="E38" s="182" t="str">
        <f ca="1">IF(ISERROR($V38),"",OFFSET('Smelter Look-up'!$D$4,$V38-4,0)&amp;"")</f>
        <v>BELGIUM</v>
      </c>
      <c r="F38" s="182" t="str">
        <f ca="1">IF(ISERROR($V38),"",OFFSET('Smelter Look-up'!$E$4,$V38-4,0))</f>
        <v>CID001980</v>
      </c>
      <c r="G38" s="182" t="str">
        <f ca="1">IF(C38=$X$4,IF(ISERROR($V38),"Enter smelter details","RMI"),IF(ISERROR($V38),"",OFFSET('Smelter Look-up'!$F$4,$V38-4,0)))</f>
        <v>RMI</v>
      </c>
      <c r="H38" s="183">
        <f ca="1">IF(ISERROR($V38),"",OFFSET('Smelter Look-up'!$G$4,$V38-4,0))</f>
        <v>0</v>
      </c>
      <c r="I38" s="184" t="str">
        <f ca="1">IF(ISERROR($V38),"",OFFSET('Smelter Look-up'!$H$4,$V38-4,0))</f>
        <v>Hoboken</v>
      </c>
      <c r="J38" s="184" t="str">
        <f ca="1">IF(ISERROR($V38),"",OFFSET('Smelter Look-up'!$I$4,$V38-4,0))</f>
        <v>Antwerpen</v>
      </c>
      <c r="K38" s="224"/>
      <c r="L38" s="224"/>
      <c r="M38" s="224"/>
      <c r="N38" s="224"/>
      <c r="O38" s="224"/>
      <c r="P38" s="185"/>
      <c r="Q38" s="225"/>
      <c r="R38" s="182" t="str">
        <f ca="1">IF(ISERROR($V38),"",OFFSET('Smelter Look-up'!$C$4,$V38-4,0)&amp;"")</f>
        <v>Umicore S.A. Business Unit Precious Metals Refining</v>
      </c>
      <c r="S38" s="181" t="str">
        <f t="shared" ref="S38:S68" ca="1" si="5">IF(B38="","",IF(ISERROR(MATCH($E38,CL,0)),"Unknown",INDIRECT("'C'!$A$"&amp;MATCH($E38,CL,0)+1)))</f>
        <v>BE</v>
      </c>
      <c r="T38" s="181" t="str">
        <f ca="1">IF(B38="","",IF(ISERROR(MATCH($J38,SorP!$B$1:$B$6226,0)),"",INDIRECT("'SorP'!$A$"&amp;MATCH($S38&amp;$J38,SorP!C:C,0))))</f>
        <v>BE-VAN</v>
      </c>
      <c r="U38" s="201"/>
      <c r="V38" s="226">
        <f ca="1">IF(C38="",NA(),IF(OR(C38="Smelter not listed",C38="Smelter not yet identified"),MATCH($B38&amp;$D38,'Smelter Look-up'!$J:$J,0),MATCH($B38&amp;$C38,'Smelter Look-up'!$J:$J,0)))</f>
        <v>303</v>
      </c>
      <c r="X38" s="227">
        <f t="shared" ref="X38:X68" ca="1" si="6">IF(AND(C38="Smelter not listed",OR(LEN(D38)=0,LEN(E38)=0)),1,0)</f>
        <v>0</v>
      </c>
      <c r="AB38" s="228" t="str">
        <f t="shared" ref="AB38:AB68" ca="1" si="7">B38&amp;C38</f>
        <v>GoldUmicore S.A. Business Unit Precious Metals Refining</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8E97206-9CD5-401F-ABC1-AE1C37D1FF94}"/>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86"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Um sicherzustellen, dass alle erforderlichen Felder vor dem Versand an ihren Kunden ausgefüllt sind, alle rot markierten Felder beachten.</v>
      </c>
      <c r="B1" s="392"/>
      <c r="C1" s="392"/>
      <c r="D1" s="119" t="str">
        <f ca="1">OFFSET(L!$C$1,MATCH("Checker"&amp;ADDRESS(ROW(),COLUMN(),4),L!$A:$A,0)-1,SL,,)</f>
        <v>Erforderliche Felder bitte vervollständigen.</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523</v>
      </c>
      <c r="G3" s="19" t="s">
        <v>522</v>
      </c>
      <c r="H3" s="19" t="s">
        <v>524</v>
      </c>
      <c r="I3" s="19" t="s">
        <v>1305</v>
      </c>
      <c r="J3" s="19" t="s">
        <v>1306</v>
      </c>
    </row>
    <row r="4" spans="1:10" ht="39">
      <c r="A4" s="90" t="str">
        <f ca="1">Declaration!B8</f>
        <v>Firmenname (*):</v>
      </c>
      <c r="B4" s="89" t="str">
        <f>Declaration!D8</f>
        <v>Diehl Metal Applications GmbH</v>
      </c>
      <c r="C4" s="89" t="str">
        <f t="shared" ref="C4" ca="1" si="0">IF(H4=1,J4,I4)</f>
        <v>Vollständig</v>
      </c>
      <c r="D4" s="95" t="str">
        <f>IF(H4=1,"Click here to enter Company Name","")</f>
        <v/>
      </c>
      <c r="E4" s="20" t="s">
        <v>1295</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9">
      <c r="A5" s="90" t="str">
        <f ca="1">Declaration!B9</f>
        <v>Geltungsbereich der Erklärung (*):</v>
      </c>
      <c r="B5" s="89" t="str">
        <f>Declaration!D9</f>
        <v>A. Company</v>
      </c>
      <c r="C5" s="89" t="str">
        <f ca="1">IF(H5=1,J5,I5)</f>
        <v>Vollständig</v>
      </c>
      <c r="D5" s="95" t="str">
        <f>IF(H5=1,"Click here to enter Declaration Scope","")</f>
        <v/>
      </c>
      <c r="E5" s="20" t="s">
        <v>1295</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51">
      <c r="A6" s="90" t="str">
        <f ca="1">Declaration!B10</f>
        <v>Beschreibung des Geltungsbereichs</v>
      </c>
      <c r="B6" s="89" t="str">
        <f>Declaration!D10</f>
        <v>This CMRT is valid for DMA Berlin and DMA Teltow.
Dieser Bericht auf Basis des CMRT gilt für unsere Werke in Berlin und in Teltow.</v>
      </c>
      <c r="C6" s="89" t="str">
        <f ca="1">IF(H6=1,J6,I6)</f>
        <v>Vollständig</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9">
      <c r="A7" s="90" t="str">
        <f ca="1">Declaration!B15</f>
        <v>Name des Ansprechpartners (*):</v>
      </c>
      <c r="B7" s="89" t="str">
        <f>Declaration!D15</f>
        <v>Stephan Osterwald</v>
      </c>
      <c r="C7" s="89" t="str">
        <f ca="1">IF(H7=1,J7,I7)</f>
        <v>Vollständig</v>
      </c>
      <c r="D7" s="95" t="str">
        <f>IF(H7=1,"Click here to enter Contact Name","")</f>
        <v/>
      </c>
      <c r="E7" s="20" t="s">
        <v>1295</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9">
      <c r="A8" s="90" t="str">
        <f ca="1">Declaration!B16</f>
        <v>E-Mail-Adresse des Ansprechpartners (*):</v>
      </c>
      <c r="B8" s="89" t="str">
        <f>Declaration!D16</f>
        <v>stephan.osterwald@diehl.com</v>
      </c>
      <c r="C8" s="89" t="str">
        <f ca="1">IF(H8=1,J8,I8)</f>
        <v>Vollständig</v>
      </c>
      <c r="D8" s="95" t="str">
        <f>IF(H8=1,"Click here to enter Email-Contact","")</f>
        <v/>
      </c>
      <c r="E8" s="20" t="s">
        <v>1295</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9">
      <c r="A9" s="90" t="str">
        <f ca="1">Declaration!B17</f>
        <v>Telefonnummer des Ansprechpartners (*):</v>
      </c>
      <c r="B9" s="273" t="str">
        <f>Declaration!D17</f>
        <v>+49-30-84784 4615</v>
      </c>
      <c r="C9" s="89" t="str">
        <f ca="1">IF(H9=1,J9,I9)</f>
        <v>Vollständig</v>
      </c>
      <c r="D9" s="95" t="str">
        <f>IF(H9=1,"Click here to enter Phone-Contact","")</f>
        <v/>
      </c>
      <c r="E9" s="20" t="s">
        <v>1295</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9">
      <c r="A10" s="90" t="str">
        <f ca="1">Declaration!B18</f>
        <v>Bevollmächtigter (*):</v>
      </c>
      <c r="B10" s="89" t="str">
        <f>Declaration!D18</f>
        <v>Stephan Osterwald</v>
      </c>
      <c r="C10" s="89" t="str">
        <f t="shared" ref="C10" ca="1" si="4">IF(H10=1,J10,I10)</f>
        <v>Vollständig</v>
      </c>
      <c r="D10" s="95" t="str">
        <f>IF(H10=1,"Click here to enter an Authorized Company Representative's name","")</f>
        <v/>
      </c>
      <c r="E10" s="20" t="s">
        <v>1295</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9">
      <c r="A11" s="90" t="str">
        <f ca="1">Declaration!B20</f>
        <v>E-Mail-Adresse des Bevollmächtigten (*):</v>
      </c>
      <c r="B11" s="89" t="str">
        <f>Declaration!D20</f>
        <v>stephan.osterwald@diehl.com</v>
      </c>
      <c r="C11" s="89" t="str">
        <f ca="1">IF(H11=1,J11,I11)</f>
        <v>Vollständig</v>
      </c>
      <c r="D11" s="95" t="str">
        <f>IF(H11=1,"Click here to enter Representative's email","")</f>
        <v/>
      </c>
      <c r="E11" s="20" t="s">
        <v>1295</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9">
      <c r="A12" s="90" t="str">
        <f ca="1">Declaration!B22</f>
        <v>Datum (*):</v>
      </c>
      <c r="B12" s="91">
        <f>Declaration!D22</f>
        <v>45705</v>
      </c>
      <c r="C12" s="89" t="str">
        <f ca="1">IF(H12=1,J12,I12)</f>
        <v>Vollständig</v>
      </c>
      <c r="D12" s="95" t="str">
        <f>IF(H12=1,"Click here to enter Date of Completion","")</f>
        <v/>
      </c>
      <c r="E12" s="20" t="s">
        <v>1295</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3.75">
      <c r="A13" s="89" t="str">
        <f ca="1">Declaration!B25</f>
        <v>1) Wird absichtlich ein 3TG-Mineral im Herstellungsprozess verwendet oder in das/die Produkt(e) aufgenommen? (*)</v>
      </c>
      <c r="B13" s="92"/>
      <c r="C13" s="92"/>
      <c r="D13" s="96"/>
      <c r="E13" s="20" t="s">
        <v>800</v>
      </c>
      <c r="F13" s="93"/>
      <c r="H13" s="19">
        <f t="shared" si="3"/>
        <v>0</v>
      </c>
    </row>
    <row r="14" spans="1:10" ht="26.25">
      <c r="A14" s="90" t="str">
        <f ca="1">Declaration!B26</f>
        <v xml:space="preserve">Tantal  </v>
      </c>
      <c r="B14" s="89" t="str">
        <f>Declaration!D26</f>
        <v>No</v>
      </c>
      <c r="C14" s="89" t="str">
        <f ca="1">IF(H14=1,J14,I14)</f>
        <v>Vollständig</v>
      </c>
      <c r="D14" s="95" t="str">
        <f>IF(H14=1,"Click here to answer question 1 for Tantalum","")</f>
        <v/>
      </c>
      <c r="E14" s="20" t="s">
        <v>796</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9">
      <c r="A15" s="90" t="str">
        <f ca="1">Declaration!B27</f>
        <v>Zinn  (*)</v>
      </c>
      <c r="B15" s="89" t="str">
        <f>Declaration!D27</f>
        <v>Yes</v>
      </c>
      <c r="C15" s="89" t="str">
        <f ca="1">IF(H15=1,J15,I15)</f>
        <v>Vollständig</v>
      </c>
      <c r="D15" s="95" t="str">
        <f>IF(H15=1,"Click here to answer question 1 for Tin","")</f>
        <v/>
      </c>
      <c r="E15" s="20" t="s">
        <v>797</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9">
      <c r="A16" s="90" t="str">
        <f ca="1">Declaration!B28</f>
        <v>Gold  (*)</v>
      </c>
      <c r="B16" s="89" t="str">
        <f>Declaration!D28</f>
        <v>Yes</v>
      </c>
      <c r="C16" s="89" t="str">
        <f ca="1">IF(H16=1,J16,I16)</f>
        <v>Vollständig</v>
      </c>
      <c r="D16" s="95" t="str">
        <f>IF(H16=1,"Click here to answer question 1 for Gold","")</f>
        <v/>
      </c>
      <c r="E16" s="20" t="s">
        <v>797</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9">
      <c r="A17" s="90" t="str">
        <f ca="1">Declaration!B29</f>
        <v xml:space="preserve">Wolfram  </v>
      </c>
      <c r="B17" s="89" t="str">
        <f>Declaration!D29</f>
        <v>No</v>
      </c>
      <c r="C17" s="89" t="str">
        <f ca="1">IF(H17=1,J17,I17)</f>
        <v>Vollständig</v>
      </c>
      <c r="D17" s="95" t="str">
        <f>IF(H17=1,"Click here to answer question 1 for Tungsten","")</f>
        <v/>
      </c>
      <c r="E17" s="20" t="s">
        <v>797</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1">
      <c r="A18" s="89" t="str">
        <f ca="1">Declaration!B31</f>
        <v>2) Liegen in dem/den Produkt(en) 3TG-Rückstände vor?  (*)</v>
      </c>
      <c r="B18" s="92"/>
      <c r="C18" s="92"/>
      <c r="D18" s="96"/>
      <c r="E18" s="20" t="s">
        <v>798</v>
      </c>
      <c r="F18" s="93"/>
      <c r="J18" s="148"/>
    </row>
    <row r="19" spans="1:10" ht="39">
      <c r="A19" s="90" t="str">
        <f ca="1">Declaration!B32</f>
        <v xml:space="preserve">Tantal  </v>
      </c>
      <c r="B19" s="89">
        <f>IF($B$14="Yes",Declaration!D32,0)</f>
        <v>0</v>
      </c>
      <c r="C19" s="89" t="str">
        <f ca="1">IF(H19=1,J19,I19)</f>
        <v>Vollständig</v>
      </c>
      <c r="D19" s="97" t="str">
        <f>IF(H19=1,"Click here to answer question 2 for Tantalum","")</f>
        <v/>
      </c>
      <c r="E19" s="20" t="s">
        <v>797</v>
      </c>
      <c r="F19" s="94">
        <f>IF(B$14="No",0,1)</f>
        <v>0</v>
      </c>
      <c r="G19" s="70">
        <f>IF(B19=0,1,0)</f>
        <v>1</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9">
      <c r="A20" s="90" t="str">
        <f ca="1">Declaration!B33</f>
        <v>Zinn  (*)</v>
      </c>
      <c r="B20" s="89" t="str">
        <f>IF($B$15="Yes",Declaration!D33,0)</f>
        <v>Yes</v>
      </c>
      <c r="C20" s="89" t="str">
        <f ca="1">IF(H20=1,J20,I20)</f>
        <v>Vollständig</v>
      </c>
      <c r="D20" s="97" t="str">
        <f>IF(H20=1,"Click here to answer question 2 for Tin","")</f>
        <v/>
      </c>
      <c r="E20" s="20" t="s">
        <v>797</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9">
      <c r="A21" s="90" t="str">
        <f ca="1">Declaration!B34</f>
        <v>Gold  (*)</v>
      </c>
      <c r="B21" s="89" t="str">
        <f>IF($B$16="Yes",Declaration!D34,0)</f>
        <v>Yes</v>
      </c>
      <c r="C21" s="89" t="str">
        <f ca="1">IF(H21=1,J21,I21)</f>
        <v>Vollständig</v>
      </c>
      <c r="D21" s="97" t="str">
        <f>IF(H21=1,"Click here to answer question 2 for Gold","")</f>
        <v/>
      </c>
      <c r="E21" s="20" t="s">
        <v>797</v>
      </c>
      <c r="F21" s="94">
        <f>IF(B$16="No",0,1)</f>
        <v>1</v>
      </c>
      <c r="G21" s="70">
        <f>IF(B21=0,1,0)</f>
        <v>0</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9">
      <c r="A22" s="90" t="str">
        <f ca="1">Declaration!B35</f>
        <v xml:space="preserve">Wolfram  </v>
      </c>
      <c r="B22" s="89">
        <f>IF($B$17="Yes",Declaration!D35,0)</f>
        <v>0</v>
      </c>
      <c r="C22" s="89" t="str">
        <f ca="1">IF(H22=1,J22,I22)</f>
        <v>Vollständig</v>
      </c>
      <c r="D22" s="97" t="str">
        <f>IF(H22=1,"Click here to answer question 2 for Tungsten","")</f>
        <v/>
      </c>
      <c r="E22" s="20" t="s">
        <v>797</v>
      </c>
      <c r="F22" s="94">
        <f>IF(B$17="No",0,1)</f>
        <v>0</v>
      </c>
      <c r="G22" s="70">
        <f>IF(B22=0,1,0)</f>
        <v>1</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 (*)</v>
      </c>
      <c r="B23" s="92"/>
      <c r="C23" s="92"/>
      <c r="D23" s="96"/>
      <c r="E23" s="20" t="s">
        <v>797</v>
      </c>
      <c r="F23" s="93"/>
      <c r="J23" s="148"/>
    </row>
    <row r="24" spans="1:10" ht="39">
      <c r="A24" s="90" t="str">
        <f ca="1">Declaration!B38</f>
        <v xml:space="preserve">Tantal  </v>
      </c>
      <c r="B24" s="89">
        <f>IF(AND($B$14="Yes",$B$19="Yes"),Declaration!D38,0)</f>
        <v>0</v>
      </c>
      <c r="C24" s="89" t="str">
        <f ca="1">IF(H24=1,J24,I24)</f>
        <v>Vollständig</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90" t="str">
        <f ca="1">Declaration!B39</f>
        <v>Zinn  (*)</v>
      </c>
      <c r="B25" s="89" t="str">
        <f>IF(AND($B$15="Yes",$B$20="Yes"),Declaration!D39,0)</f>
        <v>Yes</v>
      </c>
      <c r="C25" s="89" t="str">
        <f ca="1">IF(H25=1,J25,I25)</f>
        <v>Vollständig</v>
      </c>
      <c r="D25" s="97" t="str">
        <f>IF(H25=1,"Click here to answer question 3 for Tin","")</f>
        <v/>
      </c>
      <c r="E25" s="20" t="s">
        <v>797</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90" t="str">
        <f ca="1">Declaration!B40</f>
        <v>Gold  (*)</v>
      </c>
      <c r="B26" s="89" t="str">
        <f>IF(AND($B$16="Yes",$B$21="Yes"),Declaration!D40,0)</f>
        <v>No</v>
      </c>
      <c r="C26" s="89" t="str">
        <f ca="1">IF(H26=1,J26,I26)</f>
        <v>Vollständig</v>
      </c>
      <c r="D26" s="97" t="str">
        <f>IF(H26=1,"Click here to answer question 3 for Gold","")</f>
        <v/>
      </c>
      <c r="E26" s="20" t="s">
        <v>797</v>
      </c>
      <c r="F26" s="94">
        <f>IF(OR(B16="No",B21="No"),0,1)</f>
        <v>1</v>
      </c>
      <c r="G26" s="70">
        <f>IF(B26=0,1,0)</f>
        <v>0</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90" t="str">
        <f ca="1">Declaration!B41</f>
        <v xml:space="preserve">Wolfram  </v>
      </c>
      <c r="B27" s="89">
        <f>IF(AND($B$17="Yes",$B$22="Yes"),Declaration!D41,0)</f>
        <v>0</v>
      </c>
      <c r="C27" s="89" t="str">
        <f ca="1">IF(H27=1,J27,I27)</f>
        <v>Vollständig</v>
      </c>
      <c r="D27" s="97" t="str">
        <f>IF(H27=1,"Click here to answer question 3 for Tungsten","")</f>
        <v/>
      </c>
      <c r="E27" s="20" t="s">
        <v>797</v>
      </c>
      <c r="F27" s="94">
        <f>IF(OR(B17="No",B22="No"),0,1)</f>
        <v>0</v>
      </c>
      <c r="G27" s="70">
        <f>IF(B27=0,1,0)</f>
        <v>1</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89" t="str">
        <f ca="1">Declaration!B43</f>
        <v>4) Beziehen Schmelzhütten in Ihrer Lieferkette ihre 3TG aus von Konflikten betroffenen und risikoreichen Gebieten? (*)</v>
      </c>
      <c r="B28" s="89"/>
      <c r="C28" s="89"/>
      <c r="D28" s="97"/>
      <c r="E28" s="20"/>
      <c r="F28" s="20"/>
      <c r="G28" s="20"/>
      <c r="I28" s="147"/>
    </row>
    <row r="29" spans="1:10" ht="41.1" customHeight="1">
      <c r="A29" s="90" t="str">
        <f ca="1">Declaration!B44</f>
        <v xml:space="preserve">Tantal  </v>
      </c>
      <c r="B29" s="89">
        <f>IF(AND($B$14="Yes",$B$19="Yes"),Declaration!D44,0)</f>
        <v>0</v>
      </c>
      <c r="C29" s="89" t="str">
        <f ca="1">IF(H29=1,J29,I29)</f>
        <v>Vollständig</v>
      </c>
      <c r="D29" s="260" t="str">
        <f>IF(H29=1,"Click here to answer question 4 for Tantalum","")</f>
        <v/>
      </c>
      <c r="E29" s="20"/>
      <c r="F29" s="94">
        <f>F24</f>
        <v>0</v>
      </c>
      <c r="G29" s="70">
        <f t="shared" ref="G29" si="8">IF(B29=0,1,0)</f>
        <v>1</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90" t="str">
        <f ca="1">Declaration!B45</f>
        <v>Zinn  (*)</v>
      </c>
      <c r="B30" s="89" t="str">
        <f>IF(AND($B$15="Yes",$B$20="Yes"),Declaration!D45,0)</f>
        <v>Yes</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90" t="str">
        <f ca="1">Declaration!B46</f>
        <v>Gold  (*)</v>
      </c>
      <c r="B31" s="89" t="str">
        <f>IF(AND($B$16="Yes",$B$21="Yes"),Declaration!D46,0)</f>
        <v>No</v>
      </c>
      <c r="C31" s="89" t="str">
        <f ca="1">IF(H31=1,J31,I31)</f>
        <v>Vollständig</v>
      </c>
      <c r="D31" s="260" t="str">
        <f>IF(H31=1,"Click here to answer question 4 for Gold","")</f>
        <v/>
      </c>
      <c r="E31" s="20"/>
      <c r="F31" s="94">
        <f>F26</f>
        <v>1</v>
      </c>
      <c r="G31" s="70">
        <f>IF(B31=0,1,0)</f>
        <v>0</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90" t="str">
        <f ca="1">Declaration!B47</f>
        <v xml:space="preserve">Wolfram  </v>
      </c>
      <c r="B32" s="89">
        <f>IF(AND($B$17="Yes",$B$22="Yes"),Declaration!D47,0)</f>
        <v>0</v>
      </c>
      <c r="C32" s="89" t="str">
        <f ca="1">IF(H32=1,J32,I32)</f>
        <v>Vollständig</v>
      </c>
      <c r="D32" s="260" t="str">
        <f>IF(H32=1,"Click here to answer question 4 for Tungsten","")</f>
        <v/>
      </c>
      <c r="E32" s="20"/>
      <c r="F32" s="94">
        <f>F27</f>
        <v>0</v>
      </c>
      <c r="G32" s="70">
        <f>IF(B32=0,1,0)</f>
        <v>1</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89" t="str">
        <f ca="1">Declaration!B49</f>
        <v>5) Stammt das für die Funktionalität oder  Herstellung Ihrer Produkte benötigte 3TG-Mineral zu 100 % aus Recycling- oder Schrottquellen?  (*)</v>
      </c>
      <c r="B33" s="92"/>
      <c r="C33" s="92"/>
      <c r="D33" s="96"/>
      <c r="E33" s="20" t="s">
        <v>1295</v>
      </c>
      <c r="F33" s="93"/>
      <c r="J33" s="148"/>
    </row>
    <row r="34" spans="1:10" ht="39">
      <c r="A34" s="90" t="str">
        <f ca="1">Declaration!B50</f>
        <v xml:space="preserve">Tantal  </v>
      </c>
      <c r="B34" s="89">
        <f>IF(AND($B$14="Yes",$B$19="Yes"),Declaration!D50,0)</f>
        <v>0</v>
      </c>
      <c r="C34" s="89" t="str">
        <f ca="1">IF(H34=1,J34,I34)</f>
        <v>Vollständig</v>
      </c>
      <c r="D34" s="260" t="str">
        <f>IF(H34=1,"Click here to answer question 5 for Tantalum","")</f>
        <v/>
      </c>
      <c r="E34" s="20" t="s">
        <v>1295</v>
      </c>
      <c r="F34" s="94">
        <f>F24</f>
        <v>0</v>
      </c>
      <c r="G34" s="70">
        <f>IF(B34=0,1,0)</f>
        <v>1</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90" t="str">
        <f ca="1">Declaration!B51</f>
        <v>Zinn  (*)</v>
      </c>
      <c r="B35" s="89" t="str">
        <f>IF(AND($B$15="Yes",$B$20="Yes"),Declaration!D51,0)</f>
        <v>No</v>
      </c>
      <c r="C35" s="89" t="str">
        <f ca="1">IF(H35=1,J35,I35)</f>
        <v>Vollständig</v>
      </c>
      <c r="D35" s="260" t="str">
        <f>IF(H35=1,"Click here to answer question 5 for Tin","")</f>
        <v/>
      </c>
      <c r="E35" s="20" t="s">
        <v>1295</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90" t="str">
        <f ca="1">Declaration!B52</f>
        <v>Gold  (*)</v>
      </c>
      <c r="B36" s="89" t="str">
        <f>IF(AND($B$16="Yes",$B$21="Yes"),Declaration!D52,0)</f>
        <v>Yes</v>
      </c>
      <c r="C36" s="89" t="str">
        <f ca="1">IF(H36=1,J36,I36)</f>
        <v>Vollständig</v>
      </c>
      <c r="D36" s="260" t="str">
        <f>IF(H36=1,"Click here to answer question 5 for Gold","")</f>
        <v/>
      </c>
      <c r="E36" s="20" t="s">
        <v>1295</v>
      </c>
      <c r="F36" s="94">
        <f>F26</f>
        <v>1</v>
      </c>
      <c r="G36" s="70">
        <f>IF(B36=0,1,0)</f>
        <v>0</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90" t="str">
        <f ca="1">Declaration!B53</f>
        <v xml:space="preserve">Wolfram  </v>
      </c>
      <c r="B37" s="89">
        <f>IF(AND($B$17="Yes",$B$22="Yes"),Declaration!D53,0)</f>
        <v>0</v>
      </c>
      <c r="C37" s="89" t="str">
        <f ca="1">IF(H37=1,J37,I37)</f>
        <v>Vollständig</v>
      </c>
      <c r="D37" s="260" t="str">
        <f>IF(H37=1,"Click here to answer question 5 for Tungsten","")</f>
        <v/>
      </c>
      <c r="E37" s="20" t="s">
        <v>1295</v>
      </c>
      <c r="F37" s="94">
        <f>F27</f>
        <v>0</v>
      </c>
      <c r="G37" s="70">
        <f>IF(B37=0,1,0)</f>
        <v>1</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89" t="str">
        <f ca="1">Declaration!B55</f>
        <v>6) Wie hoch ist der Prozentsatz an Lieferanten, die auf Ihre Lieferkettenumfrage geantwortet haben? (*)</v>
      </c>
      <c r="B38" s="92"/>
      <c r="C38" s="92"/>
      <c r="D38" s="96"/>
      <c r="E38" s="20" t="s">
        <v>797</v>
      </c>
      <c r="F38" s="93"/>
    </row>
    <row r="39" spans="1:10" ht="26.25">
      <c r="A39" s="90" t="str">
        <f ca="1">Declaration!B56</f>
        <v xml:space="preserve">Tantal  </v>
      </c>
      <c r="B39" s="268">
        <f>IF(AND($B$14="Yes",$B$19="Yes"),Declaration!D56,0)</f>
        <v>0</v>
      </c>
      <c r="C39" s="89" t="str">
        <f ca="1">IF(H39=1,J39,I39)</f>
        <v>Vollständig</v>
      </c>
      <c r="D39" s="261" t="str">
        <f>IF(H39=1,"Click here to answer question 6 for Tantalum","")</f>
        <v/>
      </c>
      <c r="E39" s="20" t="s">
        <v>796</v>
      </c>
      <c r="F39" s="94">
        <f>F24</f>
        <v>0</v>
      </c>
      <c r="G39" s="70">
        <f>IF(B39=0,1,0)</f>
        <v>1</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6.25">
      <c r="A40" s="90" t="str">
        <f ca="1">Declaration!B57</f>
        <v>Zinn  (*)</v>
      </c>
      <c r="B40" s="268" t="str">
        <f>IF(AND($B$15="Yes",$B$20="Yes"),Declaration!D57,0)</f>
        <v>Greater than 90%</v>
      </c>
      <c r="C40" s="89" t="str">
        <f ca="1">IF(H40=1,J40,I40)</f>
        <v>Vollständig</v>
      </c>
      <c r="D40" s="261" t="str">
        <f>IF(H40=1,"Click here to answer question 6 for Tin","")</f>
        <v/>
      </c>
      <c r="E40" s="20" t="s">
        <v>796</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6.25">
      <c r="A41" s="90" t="str">
        <f ca="1">Declaration!B58</f>
        <v>Gold  (*)</v>
      </c>
      <c r="B41" s="268" t="str">
        <f>IF(AND($B$16="Yes",$B$21="Yes"),Declaration!D58,0)</f>
        <v>100%</v>
      </c>
      <c r="C41" s="89" t="str">
        <f ca="1">IF(H41=1,J41,I41)</f>
        <v>Vollständig</v>
      </c>
      <c r="D41" s="261" t="str">
        <f>IF(H41=1,"Click here to answer question 6 for Gold","")</f>
        <v/>
      </c>
      <c r="E41" s="20" t="s">
        <v>796</v>
      </c>
      <c r="F41" s="94">
        <f>F26</f>
        <v>1</v>
      </c>
      <c r="G41" s="70">
        <f>IF(B41=0,1,0)</f>
        <v>0</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6.25">
      <c r="A42" s="90" t="str">
        <f ca="1">Declaration!B59</f>
        <v xml:space="preserve">Wolfram  </v>
      </c>
      <c r="B42" s="268">
        <f>IF(AND($B$17="Yes",$B$22="Yes"),Declaration!D59,0)</f>
        <v>0</v>
      </c>
      <c r="C42" s="89" t="str">
        <f ca="1">IF(H42=1,J42,I42)</f>
        <v>Vollständig</v>
      </c>
      <c r="D42" s="261" t="str">
        <f>IF(H42=1,"Click here to answer question 6 for Tungsten","")</f>
        <v/>
      </c>
      <c r="E42" s="20" t="s">
        <v>796</v>
      </c>
      <c r="F42" s="94">
        <f>F27</f>
        <v>0</v>
      </c>
      <c r="G42" s="70">
        <f>IF(B42=0,1,0)</f>
        <v>1</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1">
      <c r="A43" s="89" t="str">
        <f ca="1">Declaration!B61</f>
        <v>7) Haben Sie alle Schmelzhütten ermittelt, die das 3TG-Mineral für Ihre Lieferkette bereitstellen?  (*)</v>
      </c>
      <c r="B43" s="92"/>
      <c r="C43" s="92"/>
      <c r="D43" s="96"/>
      <c r="E43" s="20" t="s">
        <v>798</v>
      </c>
      <c r="F43" s="93"/>
    </row>
    <row r="44" spans="1:10" ht="51.75">
      <c r="A44" s="90" t="str">
        <f ca="1">Declaration!B62</f>
        <v xml:space="preserve">Tantal  </v>
      </c>
      <c r="B44" s="89">
        <f>IF(AND($B$14="Yes",$B$19="Yes"),Declaration!D62,0)</f>
        <v>0</v>
      </c>
      <c r="C44" s="89" t="str">
        <f ca="1">IF(H44=1,J44,I44)</f>
        <v>Vollständig</v>
      </c>
      <c r="D44" s="260" t="str">
        <f>IF(H44=1,"Click here to answer question 7 for Tantalum","")</f>
        <v/>
      </c>
      <c r="E44" s="20" t="s">
        <v>1291</v>
      </c>
      <c r="F44" s="94">
        <f>F24</f>
        <v>0</v>
      </c>
      <c r="G44" s="70">
        <f>IF(B44=0,1,0)</f>
        <v>1</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90" t="str">
        <f ca="1">Declaration!B63</f>
        <v>Zinn  (*)</v>
      </c>
      <c r="B45" s="89" t="str">
        <f>IF(AND($B$15="Yes",$B$20="Yes"),Declaration!D63,0)</f>
        <v>Yes</v>
      </c>
      <c r="C45" s="89" t="str">
        <f ca="1">IF(H45=1,J45,I45)</f>
        <v>Vollständig</v>
      </c>
      <c r="D45" s="260" t="str">
        <f>IF(H45=1,"Click here to answer question 7 for Tin","")</f>
        <v/>
      </c>
      <c r="E45" s="20" t="s">
        <v>1291</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90" t="str">
        <f ca="1">Declaration!B64</f>
        <v>Gold  (*)</v>
      </c>
      <c r="B46" s="89" t="str">
        <f>IF(AND($B$16="Yes",$B$21="Yes"),Declaration!D64,0)</f>
        <v>Yes</v>
      </c>
      <c r="C46" s="89" t="str">
        <f ca="1">IF(H46=1,J46,I46)</f>
        <v>Vollständig</v>
      </c>
      <c r="D46" s="260" t="str">
        <f>IF(H46=1,"Click here to answer question 7 for Gold","")</f>
        <v/>
      </c>
      <c r="E46" s="20" t="s">
        <v>1291</v>
      </c>
      <c r="F46" s="94">
        <f>F26</f>
        <v>1</v>
      </c>
      <c r="G46" s="70">
        <f>IF(B46=0,1,0)</f>
        <v>0</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90" t="str">
        <f ca="1">Declaration!B65</f>
        <v xml:space="preserve">Wolfram  </v>
      </c>
      <c r="B47" s="89">
        <f>IF(AND($B$17="Yes",$B$22="Yes"),Declaration!D65,0)</f>
        <v>0</v>
      </c>
      <c r="C47" s="89" t="str">
        <f ca="1">IF(H47=1,J47,I47)</f>
        <v>Vollständig</v>
      </c>
      <c r="D47" s="260" t="str">
        <f>IF(H47=1,"Click here to answer question 7 for Tungsten","")</f>
        <v/>
      </c>
      <c r="E47" s="20" t="s">
        <v>1291</v>
      </c>
      <c r="F47" s="94">
        <f>F27</f>
        <v>0</v>
      </c>
      <c r="G47" s="70">
        <f>IF(B47=0,1,0)</f>
        <v>1</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89" t="str">
        <f ca="1">Declaration!B67</f>
        <v>8) Haben Sie alle relevanten Informationen, die Ihr Unternehmen zu den Schmelzhütten erhalten hat, in dieser Erklärung aufgeführt?  (*)</v>
      </c>
      <c r="B48" s="92"/>
      <c r="C48" s="92"/>
      <c r="D48" s="96"/>
      <c r="E48" s="20" t="s">
        <v>799</v>
      </c>
      <c r="F48" s="93"/>
    </row>
    <row r="49" spans="1:10" ht="39">
      <c r="A49" s="90" t="str">
        <f ca="1">Declaration!B68</f>
        <v xml:space="preserve">Tantal  </v>
      </c>
      <c r="B49" s="89">
        <f>IF(AND($B$14="Yes",$B$19="Yes"),Declaration!D68,0)</f>
        <v>0</v>
      </c>
      <c r="C49" s="89" t="str">
        <f ca="1">IF(H49=1,J49,I49)</f>
        <v>Vollständig</v>
      </c>
      <c r="D49" s="261" t="str">
        <f>IF(H49=1,"Click here to answer question 8 for Tantalum","")</f>
        <v/>
      </c>
      <c r="E49" s="20" t="s">
        <v>797</v>
      </c>
      <c r="F49" s="94">
        <f>F24</f>
        <v>0</v>
      </c>
      <c r="G49" s="70">
        <f>IF(B49=0,1,0)</f>
        <v>1</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9">
      <c r="A50" s="90" t="str">
        <f ca="1">Declaration!B69</f>
        <v>Zinn  (*)</v>
      </c>
      <c r="B50" s="89" t="str">
        <f>IF(AND($B$15="Yes",$B$20="Yes"),Declaration!D69,0)</f>
        <v>Yes</v>
      </c>
      <c r="C50" s="89" t="str">
        <f ca="1">IF(H50=1,J50,I50)</f>
        <v>Vollständig</v>
      </c>
      <c r="D50" s="261" t="str">
        <f>IF(H50=1,"Click here to answer question 8 for Tin","")</f>
        <v/>
      </c>
      <c r="E50" s="20" t="s">
        <v>797</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9">
      <c r="A51" s="90" t="str">
        <f ca="1">Declaration!B70</f>
        <v>Gold  (*)</v>
      </c>
      <c r="B51" s="89" t="str">
        <f>IF(AND($B$16="Yes",$B$21="Yes"),Declaration!D70,0)</f>
        <v>Yes</v>
      </c>
      <c r="C51" s="89" t="str">
        <f ca="1">IF(H51=1,J51,I51)</f>
        <v>Vollständig</v>
      </c>
      <c r="D51" s="261" t="str">
        <f>IF(H51=1,"Click here to answer question 8 for Gold","")</f>
        <v/>
      </c>
      <c r="E51" s="20" t="s">
        <v>797</v>
      </c>
      <c r="F51" s="94">
        <f>F26</f>
        <v>1</v>
      </c>
      <c r="G51" s="70">
        <f>IF(B51=0,1,0)</f>
        <v>0</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9">
      <c r="A52" s="90" t="str">
        <f ca="1">Declaration!B71</f>
        <v xml:space="preserve">Wolfram  </v>
      </c>
      <c r="B52" s="89">
        <f>IF(AND($B$17="Yes",$B$22="Yes"),Declaration!D71,0)</f>
        <v>0</v>
      </c>
      <c r="C52" s="89" t="str">
        <f ca="1">IF(H52=1,J52,I52)</f>
        <v>Vollständig</v>
      </c>
      <c r="D52" s="261" t="str">
        <f>IF(H52=1,"Click here to answer question 8 for Tungsten","")</f>
        <v/>
      </c>
      <c r="E52" s="20" t="s">
        <v>797</v>
      </c>
      <c r="F52" s="94">
        <f>F27</f>
        <v>0</v>
      </c>
      <c r="G52" s="70">
        <f>IF(B52=0,1,0)</f>
        <v>1</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5.5">
      <c r="A53" s="89" t="str">
        <f ca="1">Declaration!B74</f>
        <v>Frage</v>
      </c>
      <c r="B53" s="92"/>
      <c r="C53" s="92"/>
      <c r="D53" s="96"/>
      <c r="E53" s="20" t="s">
        <v>437</v>
      </c>
      <c r="F53" s="93"/>
      <c r="G53" s="93"/>
      <c r="H53" s="93"/>
    </row>
    <row r="54" spans="1:10" ht="39">
      <c r="A54" s="89" t="str">
        <f ca="1">Declaration!B75</f>
        <v>A. Haben Sie eine konfliktfreie Beschaffungsrichtlinie für Mineralien erstellt? (*)</v>
      </c>
      <c r="B54" s="89" t="str">
        <f>Declaration!D75</f>
        <v>Yes</v>
      </c>
      <c r="C54" s="89" t="str">
        <f t="shared" ref="C54:C60" ca="1" si="10">IF(H54=1,J54,I54)</f>
        <v>Vollständig</v>
      </c>
      <c r="D54" s="95" t="str">
        <f>IF(H54=1,"Click here to answer question (A)","")</f>
        <v/>
      </c>
      <c r="E54" s="20" t="s">
        <v>1295</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 (*)</v>
      </c>
      <c r="B55" s="89" t="str">
        <f>Declaration!D77</f>
        <v>Yes</v>
      </c>
      <c r="C55" s="89" t="str">
        <f t="shared" ca="1" si="10"/>
        <v>Vollständig</v>
      </c>
      <c r="D55" s="95" t="str">
        <f>IF(H55=1,"Click here to answer question (B)","")</f>
        <v/>
      </c>
      <c r="E55" s="20" t="s">
        <v>1295</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450000000000003" customHeight="1">
      <c r="A56" s="89" t="s">
        <v>3</v>
      </c>
      <c r="B56" s="89" t="str">
        <f>Declaration!G77</f>
        <v>https://www.diehl.com/group/de/unternehmen/compliance/</v>
      </c>
      <c r="C56" s="89" t="str">
        <f t="shared" ca="1" si="10"/>
        <v>Vollständig</v>
      </c>
      <c r="D56" s="95" t="str">
        <f>IF(H56=1,"Click here to specify URL for question (B)","")</f>
        <v/>
      </c>
      <c r="E56" s="20"/>
      <c r="F56" s="94">
        <f>IF(AND(F55=1,B55="Yes"),1,0)</f>
        <v>1</v>
      </c>
      <c r="G56" s="70">
        <f>IF(LEN(B56)&gt;1,0,1)</f>
        <v>0</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51">
      <c r="A57" s="89" t="str">
        <f ca="1">Declaration!B79</f>
        <v>C. Verlangen Sie von Ihren direkten Lieferanten, das 3TG-Mineral ausschließlich von Schmelzhütten zu beziehen, deren Sorgfaltspflichts-Praktiken von einer unabhängigen Instanz überprüft wurden? (*)</v>
      </c>
      <c r="B57" s="89" t="str">
        <f>Declaration!D79</f>
        <v>Yes</v>
      </c>
      <c r="C57" s="89" t="str">
        <f t="shared" ca="1" si="10"/>
        <v>Vollständig</v>
      </c>
      <c r="D57" s="95" t="str">
        <f>IF(H57=1,"Click here to answer question (C)","")</f>
        <v/>
      </c>
      <c r="E57" s="20" t="s">
        <v>1295</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89" t="str">
        <f ca="1">Declaration!B81</f>
        <v>D. Haben Sie Sorgfaltspflichtmaßnahmen für die konfliktfreie Beschaffung in Kraft gesetzt? (*)</v>
      </c>
      <c r="B58" s="89" t="str">
        <f>Declaration!D81</f>
        <v>Yes</v>
      </c>
      <c r="C58" s="89" t="str">
        <f t="shared" ca="1" si="10"/>
        <v>Vollständig</v>
      </c>
      <c r="D58" s="95" t="str">
        <f>IF(H58=1,"Click here to answer question (D)","")</f>
        <v/>
      </c>
      <c r="E58" s="20" t="s">
        <v>1295</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9">
      <c r="A59" s="89" t="str">
        <f ca="1">Declaration!B83</f>
        <v>E. Veranstaltet Ihr Unternehmen (eine) Konfliktmineralienumfrage(n) mit seinen entsprechenden Lieferanten? (*)</v>
      </c>
      <c r="B59" s="89" t="str">
        <f>Declaration!D83</f>
        <v>Yes, in conformance with IPC1755 (e.g., CMRT)</v>
      </c>
      <c r="C59" s="89" t="str">
        <f t="shared" ca="1" si="10"/>
        <v>Vollständig</v>
      </c>
      <c r="D59" s="95" t="str">
        <f>IF(H59=1,"Click here to answer question (E)","")</f>
        <v/>
      </c>
      <c r="E59" s="20" t="s">
        <v>1295</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39">
      <c r="A60" s="89" t="str">
        <f ca="1">Declaration!B85</f>
        <v>F. Überprüfen Sie die Sorgfaltspflichts-Informationen, die Sie von ihren Lieferanten erhalten, anhand der Erwartungen Ihres Unternehmens? (*)</v>
      </c>
      <c r="B60" s="89" t="str">
        <f>Declaration!D85</f>
        <v>Yes</v>
      </c>
      <c r="C60" s="89" t="str">
        <f t="shared" ca="1" si="10"/>
        <v>Vollständig</v>
      </c>
      <c r="D60" s="95" t="str">
        <f>IF(H60=1,"Click here to answer question (F)","")</f>
        <v/>
      </c>
      <c r="E60" s="20" t="s">
        <v>1295</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5" hidden="1">
      <c r="A61" s="89"/>
      <c r="B61" s="89"/>
      <c r="C61" s="89"/>
      <c r="D61" s="95"/>
      <c r="E61" s="20"/>
      <c r="F61" s="94"/>
      <c r="G61" s="70"/>
      <c r="H61" s="71"/>
      <c r="I61" s="147"/>
    </row>
    <row r="62" spans="1:10" ht="39">
      <c r="A62" s="89" t="str">
        <f ca="1">Declaration!B87</f>
        <v>G. Sieht Ihr Review-Prozess ein Korrekturmaßnahmen-Management vor? (*)</v>
      </c>
      <c r="B62" s="89" t="str">
        <f>Declaration!D87</f>
        <v>Yes</v>
      </c>
      <c r="C62" s="89" t="str">
        <f t="shared" ref="C62:C68" ca="1" si="13">IF(H62=1,J62,I62)</f>
        <v>Vollständig</v>
      </c>
      <c r="D62" s="95" t="str">
        <f>IF(H62=1,"Click here to answer question (G)","")</f>
        <v/>
      </c>
      <c r="E62" s="20" t="s">
        <v>1295</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9">
      <c r="A63" s="89" t="str">
        <f ca="1">Declaration!B89</f>
        <v>H. Ist Ihr Unternehmen zu einer jährlichen Offenlegung der Konfliktmineralien verpflichtet? (*)</v>
      </c>
      <c r="B63" s="89" t="str">
        <f>Declaration!D89</f>
        <v>Yes, with the EU</v>
      </c>
      <c r="C63" s="89" t="str">
        <f t="shared" ca="1" si="13"/>
        <v>Vollständig</v>
      </c>
      <c r="D63" s="95" t="str">
        <f>IF(H63=1,"Click here to answer question (H)","")</f>
        <v/>
      </c>
      <c r="E63" s="20" t="s">
        <v>1295</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9">
      <c r="A64" s="89" t="s">
        <v>1288</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89" t="s">
        <v>15123</v>
      </c>
      <c r="B65" s="89"/>
      <c r="C65" s="89" t="str">
        <f t="shared" ca="1" si="13"/>
        <v>Vollständig</v>
      </c>
      <c r="D65" s="95" t="str">
        <f ca="1">IF(H65=0,"","Click here to provide smelter information")</f>
        <v/>
      </c>
      <c r="E65" s="20" t="s">
        <v>1295</v>
      </c>
      <c r="F65" s="94">
        <f>F24</f>
        <v>0</v>
      </c>
      <c r="G65" s="70">
        <f ca="1">IF(AND(COUNTIF(SmelterIdetifiedForMetal,"Tantalum")&gt;0,COUNTIF('Smelter List'!AB$5:AB$2504,"Tantalum?*")&gt;0),0,1)</f>
        <v>1</v>
      </c>
      <c r="H65" s="71">
        <f t="shared" ca="1"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9">
      <c r="A66" s="89" t="s">
        <v>1835</v>
      </c>
      <c r="B66" s="89"/>
      <c r="C66" s="89" t="str">
        <f t="shared" ca="1" si="13"/>
        <v>Vollständig</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9">
      <c r="A67" s="89" t="s">
        <v>1836</v>
      </c>
      <c r="B67" s="89"/>
      <c r="C67" s="89" t="str">
        <f t="shared" ca="1" si="13"/>
        <v>Vollständig</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9">
      <c r="A68" s="89" t="s">
        <v>1837</v>
      </c>
      <c r="B68" s="89"/>
      <c r="C68" s="89" t="str">
        <f t="shared" ca="1" si="13"/>
        <v>Vollständig</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Abschluss nur erforderlich, wenn die Ebene "Produkt (oder eine Liste von Produkten)" auf der "Erklärung" Arbeitsblatt ausgewählt wurde-</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Produkt- oder Artikelnummer (*)</v>
      </c>
      <c r="C5" s="132" t="str">
        <f ca="1">OFFSET(L!$C$1,MATCH("Product List"&amp;ADDRESS(ROW(),COLUMN(),4),L!$A:$A,0)-1,SL,,)</f>
        <v>Produkt- oder Artikelbeschreibung</v>
      </c>
      <c r="D5" s="72" t="str">
        <f ca="1">OFFSET(L!$C$1,MATCH("Product List"&amp;ADDRESS(ROW(),COLUMN(),4),L!$A:$A,0)-1,SL,,)</f>
        <v>Kommentare</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8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56.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85.2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13.7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57">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87CCA05-2504-49DD-A5A6-53B505A8360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8B33842-1401-49FA-AB57-72F104527A2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Stephan OSTERWALD</cp:lastModifiedBy>
  <cp:lastPrinted>2015-04-21T20:47:43Z</cp:lastPrinted>
  <dcterms:created xsi:type="dcterms:W3CDTF">2010-06-21T21:00:23Z</dcterms:created>
  <dcterms:modified xsi:type="dcterms:W3CDTF">2025-03-25T21:56:36Z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1e4bcc5e-c850-4664-8c68-f9d333047e33_Enabled">
    <vt:lpwstr>true</vt:lpwstr>
  </property>
  <property fmtid="{D5CDD505-2E9C-101B-9397-08002B2CF9AE}" pid="6" name="MSIP_Label_1e4bcc5e-c850-4664-8c68-f9d333047e33_SetDate">
    <vt:lpwstr>2025-02-17T14:09:49Z</vt:lpwstr>
  </property>
  <property fmtid="{D5CDD505-2E9C-101B-9397-08002B2CF9AE}" pid="7" name="MSIP_Label_1e4bcc5e-c850-4664-8c68-f9d333047e33_Method">
    <vt:lpwstr>Privileged</vt:lpwstr>
  </property>
  <property fmtid="{D5CDD505-2E9C-101B-9397-08002B2CF9AE}" pid="8" name="MSIP_Label_1e4bcc5e-c850-4664-8c68-f9d333047e33_Name">
    <vt:lpwstr>C1 – Company Internal</vt:lpwstr>
  </property>
  <property fmtid="{D5CDD505-2E9C-101B-9397-08002B2CF9AE}" pid="9" name="MSIP_Label_1e4bcc5e-c850-4664-8c68-f9d333047e33_SiteId">
    <vt:lpwstr>a2c46598-0fd1-4b3c-94d2-9b52215b3fe8</vt:lpwstr>
  </property>
  <property fmtid="{D5CDD505-2E9C-101B-9397-08002B2CF9AE}" pid="10" name="MSIP_Label_1e4bcc5e-c850-4664-8c68-f9d333047e33_ActionId">
    <vt:lpwstr>a4867feb-9a63-4e93-ad37-9e4165f0c6fd</vt:lpwstr>
  </property>
  <property fmtid="{D5CDD505-2E9C-101B-9397-08002B2CF9AE}" pid="11" name="MSIP_Label_1e4bcc5e-c850-4664-8c68-f9d333047e33_ContentBits">
    <vt:lpwstr>0</vt:lpwstr>
  </property>
  <property fmtid="{D5CDD505-2E9C-101B-9397-08002B2CF9AE}" pid="12" name="MSIP_Label_1e4bcc5e-c850-4664-8c68-f9d333047e33_Tag">
    <vt:lpwstr>10, 0, 1, 1</vt:lpwstr>
  </property>
</Properties>
</file>